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BUDPAR\"/>
    </mc:Choice>
  </mc:AlternateContent>
  <xr:revisionPtr revIDLastSave="0" documentId="8_{6FFCFFA5-6655-4CA4-BFE3-80234BA58E2E}" xr6:coauthVersionLast="47" xr6:coauthVersionMax="47" xr10:uidLastSave="{00000000-0000-0000-0000-000000000000}"/>
  <bookViews>
    <workbookView xWindow="-120" yWindow="-120" windowWidth="20640" windowHeight="11040" xr2:uid="{6790D4AC-299A-40EE-96AB-19B153230A79}"/>
  </bookViews>
  <sheets>
    <sheet name="BDD 2022" sheetId="1" r:id="rId1"/>
  </sheets>
  <definedNames>
    <definedName name="_xlnm.Print_Area" localSheetId="0">'BDD 2022'!$A$282:$D$311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24" i="1" s="1"/>
  <c r="B15" i="1"/>
  <c r="B16" i="1"/>
  <c r="B17" i="1"/>
  <c r="B18" i="1"/>
  <c r="B19" i="1"/>
  <c r="B20" i="1"/>
  <c r="B21" i="1"/>
  <c r="B22" i="1"/>
  <c r="B23" i="1"/>
  <c r="C24" i="1"/>
  <c r="D24" i="1"/>
  <c r="B65" i="1"/>
  <c r="D65" i="1"/>
  <c r="D77" i="1" s="1"/>
  <c r="B66" i="1"/>
  <c r="B77" i="1" s="1"/>
  <c r="F77" i="1" s="1"/>
  <c r="D66" i="1"/>
  <c r="B67" i="1"/>
  <c r="D67" i="1"/>
  <c r="B68" i="1"/>
  <c r="D68" i="1"/>
  <c r="B69" i="1"/>
  <c r="D69" i="1"/>
  <c r="B70" i="1"/>
  <c r="D70" i="1"/>
  <c r="B71" i="1"/>
  <c r="D71" i="1"/>
  <c r="B72" i="1"/>
  <c r="D72" i="1"/>
  <c r="B73" i="1"/>
  <c r="D73" i="1"/>
  <c r="B74" i="1"/>
  <c r="D74" i="1"/>
  <c r="B75" i="1"/>
  <c r="D75" i="1"/>
  <c r="B76" i="1"/>
  <c r="D76" i="1"/>
  <c r="C77" i="1"/>
  <c r="F83" i="1"/>
  <c r="F84" i="1"/>
  <c r="F85" i="1"/>
  <c r="F86" i="1"/>
  <c r="F87" i="1"/>
  <c r="F88" i="1"/>
  <c r="D118" i="1"/>
  <c r="D130" i="1" s="1"/>
  <c r="F132" i="1" s="1"/>
  <c r="F118" i="1"/>
  <c r="D119" i="1"/>
  <c r="D120" i="1"/>
  <c r="B121" i="1"/>
  <c r="D121" i="1"/>
  <c r="G121" i="1"/>
  <c r="D122" i="1"/>
  <c r="D123" i="1"/>
  <c r="F123" i="1"/>
  <c r="F124" i="1" s="1"/>
  <c r="H123" i="1"/>
  <c r="D126" i="1"/>
  <c r="D127" i="1"/>
  <c r="D128" i="1"/>
  <c r="F128" i="1"/>
  <c r="B129" i="1"/>
  <c r="D129" i="1"/>
  <c r="F129" i="1"/>
  <c r="G129" i="1"/>
  <c r="B130" i="1"/>
  <c r="C130" i="1"/>
  <c r="F130" i="1" s="1"/>
  <c r="G130" i="1"/>
  <c r="F131" i="1"/>
  <c r="F136" i="1"/>
  <c r="F137" i="1"/>
  <c r="F138" i="1"/>
  <c r="F139" i="1"/>
  <c r="F140" i="1"/>
  <c r="F141" i="1"/>
  <c r="D175" i="1"/>
  <c r="F178" i="1"/>
  <c r="F181" i="1"/>
  <c r="B183" i="1"/>
  <c r="H183" i="1" s="1"/>
  <c r="C183" i="1"/>
  <c r="D183" i="1"/>
  <c r="F183" i="1"/>
  <c r="B185" i="1"/>
  <c r="F189" i="1"/>
  <c r="F190" i="1"/>
  <c r="B191" i="1"/>
  <c r="F191" i="1"/>
  <c r="F192" i="1"/>
  <c r="F193" i="1"/>
  <c r="F194" i="1"/>
  <c r="B236" i="1"/>
  <c r="C236" i="1"/>
  <c r="F236" i="1"/>
  <c r="F242" i="1"/>
  <c r="F243" i="1"/>
  <c r="F244" i="1"/>
  <c r="F245" i="1"/>
  <c r="F246" i="1"/>
  <c r="F247" i="1"/>
  <c r="F267" i="1"/>
  <c r="B277" i="1"/>
  <c r="C277" i="1"/>
  <c r="B293" i="1"/>
  <c r="B294" i="1"/>
  <c r="B296" i="1"/>
  <c r="B304" i="1" s="1"/>
  <c r="B297" i="1"/>
  <c r="B303" i="1"/>
  <c r="C304" i="1"/>
  <c r="G132" i="1" l="1"/>
</calcChain>
</file>

<file path=xl/sharedStrings.xml><?xml version="1.0" encoding="utf-8"?>
<sst xmlns="http://schemas.openxmlformats.org/spreadsheetml/2006/main" count="201" uniqueCount="46">
  <si>
    <t>TAHUN 2017</t>
  </si>
  <si>
    <t>TAHUN 2018</t>
  </si>
  <si>
    <t>TAHUN 2019</t>
  </si>
  <si>
    <t>TAHUN 2020</t>
  </si>
  <si>
    <t>TAHUN 2021</t>
  </si>
  <si>
    <t>Jumlah/Total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</si>
  <si>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</si>
  <si>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</si>
  <si>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</si>
  <si>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</si>
  <si>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</si>
  <si>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</si>
  <si>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</si>
  <si>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</si>
  <si>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</si>
  <si>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>MARET</t>
  </si>
  <si>
    <t>FEBRUARI</t>
  </si>
  <si>
    <t>JANUARI</t>
  </si>
  <si>
    <t>(Rp)</t>
  </si>
  <si>
    <t>Lain-lain</t>
  </si>
  <si>
    <t>Penjualan</t>
  </si>
  <si>
    <t>kamar terjual</t>
  </si>
  <si>
    <t>Month</t>
  </si>
  <si>
    <t>Pendapatan</t>
  </si>
  <si>
    <t>jumlah</t>
  </si>
  <si>
    <t>Bulan</t>
  </si>
  <si>
    <t>in Brebes 2022</t>
  </si>
  <si>
    <t>The Number of Revenue in Wisma Kencana - Brebes</t>
  </si>
  <si>
    <t>Hotel / Wisma  Per Bulan Tahun 2022</t>
  </si>
  <si>
    <t>Jumlah  Pendapatan di  Sapras Wisata</t>
  </si>
  <si>
    <t>Tabel</t>
  </si>
  <si>
    <t>Pengunjung</t>
  </si>
  <si>
    <t>Banyaknya</t>
  </si>
  <si>
    <t>The Number of visitor and Revenue in Mangrovesari - Kaliwlingi</t>
  </si>
  <si>
    <t>Mangrove Pandansari Kaliwlingi Per Bulan Tahun 2022</t>
  </si>
  <si>
    <t>Jumlah Pengunjung dan Pendapatan di Obyek Wisata</t>
  </si>
  <si>
    <t>The Number of visitor and Revenue in Kaligua-Paguyangan</t>
  </si>
  <si>
    <t>Kaligua Paguyangan Dirinci Per Bulan Tahun 2022</t>
  </si>
  <si>
    <t>The Number of visitor and Revenue in Malahayu Banjarharjo</t>
  </si>
  <si>
    <t>Waduk malahayu Banjarharjo dirinci Per Bulan Tahun 2022</t>
  </si>
  <si>
    <t>The Number of visitor and Revenue in Randusanga Indah Beach</t>
  </si>
  <si>
    <t>Pantai Randusanga Indah Dirinci Per Bulan Tahun 2022</t>
  </si>
  <si>
    <t>The Number of visitor and Revenue in Cipanas Bantarkawung</t>
  </si>
  <si>
    <t>Cipanas Bantarkawung Dirinci Per Bulan Tahun 2022</t>
  </si>
  <si>
    <t>The Number of visitor and Revenue in Tirta Husada-Paguyangan</t>
  </si>
  <si>
    <t>Tirta Husada Paguyangan Dirinci Per Bulan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</si>
</sst>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[$Rp-421]* #,##0_);_([$Rp-421]* \(#,##0\);_([$Rp-421]* &quot;-&quot;??_);_(@_)"/>
    <numFmt numFmtId="167" formatCode="_(* #,##0_);_(* \(#,##0\);_(* &quot;-&quot;_);_(@_)"/>
    <numFmt numFmtId="168" formatCode="_([$Rp-421]* #,##0.00_);_([$Rp-421]* \(#,##0.00\);_([$Rp-421]* &quot;-&quot;??_);_(@_)"/>
    <numFmt numFmtId="169" formatCode="_(* #,##0_);_(* \(#,##0\);_(* &quot;-&quot;??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64" fontId="2" fillId="0" borderId="1" xfId="1" applyFont="1" applyBorder="1" applyAlignment="1">
      <alignment horizontal="left"/>
    </xf>
    <xf numFmtId="166" fontId="2" fillId="0" borderId="1" xfId="3" applyNumberFormat="1" applyFont="1" applyBorder="1" applyAlignment="1">
      <alignment horizontal="left" indent="1"/>
    </xf>
    <xf numFmtId="167" fontId="2" fillId="0" borderId="1" xfId="2" applyFont="1" applyBorder="1" applyAlignment="1">
      <alignment horizontal="left" indent="1"/>
    </xf>
    <xf numFmtId="167" fontId="2" fillId="0" borderId="1" xfId="0" applyNumberFormat="1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6" fontId="2" fillId="0" borderId="0" xfId="0" applyNumberFormat="1" applyFont="1"/>
    <xf numFmtId="0" fontId="2" fillId="0" borderId="0" xfId="0" applyFont="1" applyAlignment="1">
      <alignment horizontal="left"/>
    </xf>
    <xf numFmtId="167" fontId="2" fillId="0" borderId="0" xfId="0" applyNumberFormat="1" applyFont="1"/>
    <xf numFmtId="166" fontId="2" fillId="0" borderId="1" xfId="0" applyNumberFormat="1" applyFont="1" applyBorder="1" applyAlignment="1">
      <alignment horizontal="left"/>
    </xf>
    <xf numFmtId="167" fontId="2" fillId="0" borderId="1" xfId="2" applyFont="1" applyBorder="1" applyAlignment="1">
      <alignment horizontal="left"/>
    </xf>
    <xf numFmtId="167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1" xfId="0" applyFont="1" applyBorder="1" applyAlignment="1">
      <alignment horizontal="left" indent="1"/>
    </xf>
    <xf numFmtId="166" fontId="2" fillId="0" borderId="1" xfId="0" applyNumberFormat="1" applyFont="1" applyBorder="1" applyAlignment="1">
      <alignment horizontal="left" indent="1"/>
    </xf>
    <xf numFmtId="16" fontId="2" fillId="0" borderId="1" xfId="0" applyNumberFormat="1" applyFont="1" applyBorder="1" applyAlignment="1">
      <alignment horizontal="left" indent="1"/>
    </xf>
    <xf numFmtId="168" fontId="2" fillId="0" borderId="1" xfId="0" applyNumberFormat="1" applyFont="1" applyBorder="1" applyAlignment="1">
      <alignment horizontal="left"/>
    </xf>
    <xf numFmtId="167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69" fontId="2" fillId="0" borderId="1" xfId="1" applyNumberFormat="1" applyFont="1" applyBorder="1" applyAlignment="1">
      <alignment horizontal="left"/>
    </xf>
  </cellXfs>
  <cellStyles count="4">
    <cellStyle name="Comma" xfId="1" builtinId="3"/>
    <cellStyle name="Comma [0]" xfId="2" builtinId="6"/>
    <cellStyle name="Currency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15D82-5C80-413B-AAD0-D4AFDFDD1B53}">
  <dimension ref="A1:H309"/>
  <sheetViews>
    <sheetView tabSelected="1" topLeftCell="A103" workbookViewId="0">
      <selection activeCell="F122" sqref="F122"/>
    </sheetView>
  </sheetViews>
  <sheetFormatPr defaultColWidth="9.140625" defaultRowHeight="15.75" x14ac:dyDescent="0.25"/>
  <cols>
    <col min="1" max="1" width="18" style="1" customWidth="1"/>
    <col min="2" max="2" width="21.140625" style="1" customWidth="1"/>
    <col min="3" max="3" width="22.5703125" style="1" customWidth="1"/>
    <col min="4" max="4" width="22" style="1" customWidth="1"/>
    <col min="5" max="5" width="9.140625" style="1"/>
    <col min="6" max="6" width="22.42578125" style="1" customWidth="1"/>
    <col min="7" max="7" width="12.85546875" style="1" bestFit="1" customWidth="1"/>
    <col min="8" max="8" width="17" style="1" customWidth="1"/>
    <col min="9" max="16384" width="9.140625" style="1"/>
  </cols>
  <sheetData>
    <row r="1" spans="1:6" x14ac:dyDescent="0.25">
      <c r="A1" s="13"/>
      <c r="B1" s="13"/>
      <c r="C1" s="13"/>
      <c r="D1" s="13"/>
    </row>
    <row r="2" spans="1:6" x14ac:dyDescent="0.25">
      <c r="A2" s="11" t="s">
        <v>30</v>
      </c>
      <c r="B2" s="11"/>
      <c r="C2" s="11"/>
      <c r="D2" s="11"/>
    </row>
    <row r="3" spans="1:6" x14ac:dyDescent="0.25">
      <c r="A3" s="10" t="s">
        <v>35</v>
      </c>
      <c r="B3" s="10"/>
      <c r="C3" s="10"/>
      <c r="D3" s="10"/>
    </row>
    <row r="4" spans="1:6" x14ac:dyDescent="0.25">
      <c r="A4" s="10" t="s">
        <v>45</v>
      </c>
      <c r="B4" s="10"/>
      <c r="C4" s="10"/>
      <c r="D4" s="10"/>
    </row>
    <row r="5" spans="1:6" x14ac:dyDescent="0.25">
      <c r="A5" s="10" t="s">
        <v>44</v>
      </c>
      <c r="B5" s="10"/>
      <c r="C5" s="10"/>
      <c r="D5" s="10"/>
    </row>
    <row r="6" spans="1:6" x14ac:dyDescent="0.25">
      <c r="A6" s="10" t="s">
        <v>26</v>
      </c>
      <c r="B6" s="10"/>
      <c r="C6" s="10"/>
      <c r="D6" s="10"/>
    </row>
    <row r="7" spans="1:6" x14ac:dyDescent="0.25">
      <c r="A7" s="13"/>
      <c r="B7" s="13"/>
      <c r="C7" s="13"/>
      <c r="D7" s="13"/>
    </row>
    <row r="8" spans="1:6" ht="15.75" customHeight="1" x14ac:dyDescent="0.25">
      <c r="A8" s="9" t="s">
        <v>25</v>
      </c>
      <c r="B8" s="9" t="s">
        <v>32</v>
      </c>
      <c r="C8" s="9" t="s">
        <v>23</v>
      </c>
      <c r="D8" s="9" t="s">
        <v>23</v>
      </c>
    </row>
    <row r="9" spans="1:6" x14ac:dyDescent="0.25">
      <c r="A9" s="9" t="s">
        <v>22</v>
      </c>
      <c r="B9" s="9" t="s">
        <v>31</v>
      </c>
      <c r="C9" s="9" t="s">
        <v>20</v>
      </c>
      <c r="D9" s="9" t="s">
        <v>19</v>
      </c>
    </row>
    <row r="10" spans="1:6" s="18" customFormat="1" x14ac:dyDescent="0.25">
      <c r="A10" s="8"/>
      <c r="B10" s="8"/>
      <c r="C10" s="8" t="s">
        <v>18</v>
      </c>
      <c r="D10" s="8" t="s">
        <v>18</v>
      </c>
    </row>
    <row r="11" spans="1:6" s="18" customFormat="1" x14ac:dyDescent="0.25">
      <c r="A11" s="8">
        <v>1</v>
      </c>
      <c r="B11" s="8">
        <v>2</v>
      </c>
      <c r="C11" s="8">
        <v>3</v>
      </c>
      <c r="D11" s="8">
        <v>4</v>
      </c>
    </row>
    <row r="12" spans="1:6" x14ac:dyDescent="0.25">
      <c r="A12" s="7" t="s">
        <v>17</v>
      </c>
      <c r="B12" s="16">
        <f>2050+615</f>
        <v>2665</v>
      </c>
      <c r="C12" s="15">
        <v>23450000</v>
      </c>
      <c r="D12" s="15">
        <v>2015000</v>
      </c>
      <c r="F12" s="12"/>
    </row>
    <row r="13" spans="1:6" x14ac:dyDescent="0.25">
      <c r="A13" s="6" t="s">
        <v>16</v>
      </c>
      <c r="B13" s="16">
        <f>1404+323</f>
        <v>1727</v>
      </c>
      <c r="C13" s="15">
        <v>9828000</v>
      </c>
      <c r="D13" s="15">
        <v>1019000</v>
      </c>
      <c r="F13" s="12"/>
    </row>
    <row r="14" spans="1:6" x14ac:dyDescent="0.25">
      <c r="A14" s="6" t="s">
        <v>15</v>
      </c>
      <c r="B14" s="16">
        <f>1748+451</f>
        <v>2199</v>
      </c>
      <c r="C14" s="15">
        <v>12236000</v>
      </c>
      <c r="D14" s="15">
        <v>1453000</v>
      </c>
      <c r="F14" s="12"/>
    </row>
    <row r="15" spans="1:6" x14ac:dyDescent="0.25">
      <c r="A15" s="6" t="s">
        <v>14</v>
      </c>
      <c r="B15" s="16">
        <f>496+185</f>
        <v>681</v>
      </c>
      <c r="C15" s="15">
        <v>3472000</v>
      </c>
      <c r="D15" s="15">
        <v>555000</v>
      </c>
      <c r="F15" s="12"/>
    </row>
    <row r="16" spans="1:6" x14ac:dyDescent="0.25">
      <c r="A16" s="6" t="s">
        <v>13</v>
      </c>
      <c r="B16" s="16">
        <f>2530+1065</f>
        <v>3595</v>
      </c>
      <c r="C16" s="15">
        <v>49210000</v>
      </c>
      <c r="D16" s="15">
        <v>3195000</v>
      </c>
      <c r="F16" s="12"/>
    </row>
    <row r="17" spans="1:6" x14ac:dyDescent="0.25">
      <c r="A17" s="6" t="s">
        <v>12</v>
      </c>
      <c r="B17" s="16">
        <f>1164+411-50</f>
        <v>1525</v>
      </c>
      <c r="C17" s="15">
        <v>15148000</v>
      </c>
      <c r="D17" s="15">
        <v>1233000</v>
      </c>
      <c r="F17" s="12"/>
    </row>
    <row r="18" spans="1:6" x14ac:dyDescent="0.25">
      <c r="A18" s="6" t="s">
        <v>11</v>
      </c>
      <c r="B18" s="16">
        <f>1960+355</f>
        <v>2315</v>
      </c>
      <c r="C18" s="15">
        <v>13720000</v>
      </c>
      <c r="D18" s="15">
        <v>1065000</v>
      </c>
      <c r="F18" s="12"/>
    </row>
    <row r="19" spans="1:6" x14ac:dyDescent="0.25">
      <c r="A19" s="6" t="s">
        <v>10</v>
      </c>
      <c r="B19" s="16">
        <f>1029+212</f>
        <v>1241</v>
      </c>
      <c r="C19" s="15">
        <v>7203000</v>
      </c>
      <c r="D19" s="15">
        <v>636000</v>
      </c>
      <c r="F19" s="12"/>
    </row>
    <row r="20" spans="1:6" x14ac:dyDescent="0.25">
      <c r="A20" s="6" t="s">
        <v>9</v>
      </c>
      <c r="B20" s="26">
        <f>791+161</f>
        <v>952</v>
      </c>
      <c r="C20" s="15">
        <v>5537000</v>
      </c>
      <c r="D20" s="15">
        <v>483000</v>
      </c>
      <c r="F20" s="12"/>
    </row>
    <row r="21" spans="1:6" x14ac:dyDescent="0.25">
      <c r="A21" s="6" t="s">
        <v>8</v>
      </c>
      <c r="B21" s="26">
        <f>1043+220</f>
        <v>1263</v>
      </c>
      <c r="C21" s="15">
        <v>7301000</v>
      </c>
      <c r="D21" s="15">
        <v>660000</v>
      </c>
      <c r="F21" s="12"/>
    </row>
    <row r="22" spans="1:6" x14ac:dyDescent="0.25">
      <c r="A22" s="6" t="s">
        <v>7</v>
      </c>
      <c r="B22" s="26">
        <f>1208+182-100</f>
        <v>1290</v>
      </c>
      <c r="C22" s="15">
        <v>8456000</v>
      </c>
      <c r="D22" s="15">
        <v>546000</v>
      </c>
      <c r="F22" s="12"/>
    </row>
    <row r="23" spans="1:6" x14ac:dyDescent="0.25">
      <c r="A23" s="6" t="s">
        <v>6</v>
      </c>
      <c r="B23" s="26">
        <f>2077+370</f>
        <v>2447</v>
      </c>
      <c r="C23" s="15">
        <v>17339000</v>
      </c>
      <c r="D23" s="15">
        <v>1110000</v>
      </c>
      <c r="F23" s="12"/>
    </row>
    <row r="24" spans="1:6" ht="26.25" customHeight="1" x14ac:dyDescent="0.25">
      <c r="A24" s="25" t="s">
        <v>5</v>
      </c>
      <c r="B24" s="24">
        <f>SUM(B12:B23)</f>
        <v>21900</v>
      </c>
      <c r="C24" s="24">
        <f>SUM(C12:C23)</f>
        <v>172900000</v>
      </c>
      <c r="D24" s="24">
        <f>SUM(D12:D23)</f>
        <v>13970000</v>
      </c>
      <c r="F24" s="14"/>
    </row>
    <row r="25" spans="1:6" ht="15.75" customHeight="1" x14ac:dyDescent="0.25">
      <c r="A25" s="25">
        <v>2021</v>
      </c>
      <c r="B25" s="24">
        <v>10100</v>
      </c>
      <c r="C25" s="15">
        <v>54875000</v>
      </c>
      <c r="D25" s="15">
        <v>5815000</v>
      </c>
      <c r="F25" s="14"/>
    </row>
    <row r="26" spans="1:6" ht="17.25" customHeight="1" x14ac:dyDescent="0.25">
      <c r="A26" s="25">
        <v>2020</v>
      </c>
      <c r="B26" s="24">
        <v>6915</v>
      </c>
      <c r="C26" s="15">
        <v>27155000</v>
      </c>
      <c r="D26" s="15">
        <v>9540000</v>
      </c>
      <c r="F26" s="14"/>
    </row>
    <row r="27" spans="1:6" ht="18.75" customHeight="1" x14ac:dyDescent="0.25">
      <c r="A27" s="6">
        <v>2019</v>
      </c>
      <c r="B27" s="17">
        <v>46575</v>
      </c>
      <c r="C27" s="15">
        <v>189075000</v>
      </c>
      <c r="D27" s="15">
        <v>22090000</v>
      </c>
      <c r="F27" s="14"/>
    </row>
    <row r="28" spans="1:6" ht="18.75" customHeight="1" x14ac:dyDescent="0.25">
      <c r="A28" s="6">
        <v>2018</v>
      </c>
      <c r="B28" s="17">
        <v>43443</v>
      </c>
      <c r="C28" s="15">
        <v>176313000</v>
      </c>
      <c r="D28" s="15">
        <v>23770000</v>
      </c>
      <c r="F28" s="14"/>
    </row>
    <row r="29" spans="1:6" ht="18" customHeight="1" x14ac:dyDescent="0.25">
      <c r="A29" s="6">
        <v>2017</v>
      </c>
      <c r="B29" s="17">
        <v>43201</v>
      </c>
      <c r="C29" s="15">
        <v>158237000</v>
      </c>
      <c r="D29" s="15">
        <v>27353000</v>
      </c>
      <c r="F29" s="14"/>
    </row>
    <row r="30" spans="1:6" ht="16.5" customHeight="1" x14ac:dyDescent="0.25">
      <c r="A30" s="6">
        <v>2016</v>
      </c>
      <c r="B30" s="17">
        <v>33157</v>
      </c>
      <c r="C30" s="15">
        <v>128135000</v>
      </c>
      <c r="D30" s="15">
        <v>11765000</v>
      </c>
      <c r="F30" s="14"/>
    </row>
    <row r="31" spans="1:6" x14ac:dyDescent="0.25">
      <c r="A31" s="6">
        <v>2015</v>
      </c>
      <c r="B31" s="16">
        <v>25671</v>
      </c>
      <c r="C31" s="15">
        <v>111197000</v>
      </c>
      <c r="D31" s="15">
        <v>39674000</v>
      </c>
      <c r="F31" s="14"/>
    </row>
    <row r="32" spans="1:6" x14ac:dyDescent="0.25">
      <c r="A32" s="6">
        <v>2014</v>
      </c>
      <c r="B32" s="16">
        <v>37298</v>
      </c>
      <c r="C32" s="15">
        <v>104078000</v>
      </c>
      <c r="D32" s="15">
        <v>5122000</v>
      </c>
      <c r="F32" s="14"/>
    </row>
    <row r="33" spans="1:6" x14ac:dyDescent="0.25">
      <c r="A33" s="6">
        <v>2013</v>
      </c>
      <c r="B33" s="16">
        <v>33782</v>
      </c>
      <c r="C33" s="15">
        <v>92983000</v>
      </c>
      <c r="D33" s="15">
        <v>5387000</v>
      </c>
      <c r="F33" s="14"/>
    </row>
    <row r="34" spans="1:6" x14ac:dyDescent="0.25">
      <c r="A34" s="6">
        <v>2012</v>
      </c>
      <c r="B34" s="16">
        <v>28805</v>
      </c>
      <c r="C34" s="15">
        <v>79120000</v>
      </c>
      <c r="D34" s="15">
        <v>4941000</v>
      </c>
      <c r="F34" s="14"/>
    </row>
    <row r="35" spans="1:6" x14ac:dyDescent="0.25">
      <c r="A35" s="6">
        <v>2011</v>
      </c>
      <c r="B35" s="16">
        <v>21269</v>
      </c>
      <c r="C35" s="15">
        <v>54903000</v>
      </c>
      <c r="D35" s="15">
        <v>23576000</v>
      </c>
      <c r="F35" s="14"/>
    </row>
    <row r="36" spans="1:6" x14ac:dyDescent="0.25">
      <c r="A36" s="6"/>
      <c r="B36" s="16"/>
      <c r="C36" s="23"/>
      <c r="D36" s="6"/>
    </row>
    <row r="37" spans="1:6" x14ac:dyDescent="0.25">
      <c r="A37" s="13"/>
      <c r="B37" s="13"/>
      <c r="C37" s="13"/>
      <c r="D37" s="13"/>
    </row>
    <row r="38" spans="1:6" x14ac:dyDescent="0.25">
      <c r="A38" s="13"/>
      <c r="B38" s="13"/>
      <c r="C38" s="13"/>
      <c r="D38" s="13"/>
    </row>
    <row r="39" spans="1:6" x14ac:dyDescent="0.25">
      <c r="A39" s="13"/>
      <c r="B39" s="13"/>
      <c r="C39" s="13"/>
      <c r="D39" s="13"/>
    </row>
    <row r="40" spans="1:6" x14ac:dyDescent="0.25">
      <c r="A40" s="13"/>
      <c r="B40" s="13"/>
      <c r="C40" s="13"/>
      <c r="D40" s="13"/>
    </row>
    <row r="41" spans="1:6" x14ac:dyDescent="0.25">
      <c r="A41" s="13"/>
      <c r="B41" s="13"/>
      <c r="C41" s="13"/>
      <c r="D41" s="13"/>
    </row>
    <row r="42" spans="1:6" x14ac:dyDescent="0.25">
      <c r="A42" s="13"/>
      <c r="B42" s="13"/>
      <c r="C42" s="13"/>
      <c r="D42" s="13"/>
    </row>
    <row r="43" spans="1:6" x14ac:dyDescent="0.25">
      <c r="A43" s="13"/>
      <c r="B43" s="13"/>
      <c r="C43" s="13"/>
      <c r="D43" s="13"/>
    </row>
    <row r="44" spans="1:6" x14ac:dyDescent="0.25">
      <c r="A44" s="13"/>
      <c r="B44" s="13"/>
      <c r="C44" s="13"/>
      <c r="D44" s="13"/>
    </row>
    <row r="45" spans="1:6" x14ac:dyDescent="0.25">
      <c r="A45" s="13"/>
      <c r="B45" s="13"/>
      <c r="C45" s="13"/>
      <c r="D45" s="13"/>
    </row>
    <row r="46" spans="1:6" x14ac:dyDescent="0.25">
      <c r="A46" s="13"/>
      <c r="B46" s="13"/>
      <c r="C46" s="13"/>
      <c r="D46" s="13"/>
    </row>
    <row r="47" spans="1:6" x14ac:dyDescent="0.25">
      <c r="A47" s="13"/>
      <c r="B47" s="13"/>
      <c r="C47" s="13"/>
      <c r="D47" s="13"/>
    </row>
    <row r="48" spans="1:6" x14ac:dyDescent="0.25">
      <c r="A48" s="13"/>
      <c r="B48" s="13"/>
      <c r="C48" s="13"/>
      <c r="D48" s="13"/>
    </row>
    <row r="49" spans="1:4" x14ac:dyDescent="0.25">
      <c r="A49" s="13"/>
      <c r="B49" s="13"/>
      <c r="C49" s="13"/>
      <c r="D49" s="13"/>
    </row>
    <row r="50" spans="1:4" x14ac:dyDescent="0.25">
      <c r="A50" s="13"/>
      <c r="B50" s="13"/>
      <c r="C50" s="13"/>
      <c r="D50" s="13"/>
    </row>
    <row r="51" spans="1:4" x14ac:dyDescent="0.25">
      <c r="A51" s="13"/>
      <c r="B51" s="13"/>
      <c r="C51" s="13"/>
      <c r="D51" s="13"/>
    </row>
    <row r="52" spans="1:4" x14ac:dyDescent="0.25">
      <c r="A52" s="13"/>
      <c r="B52" s="13"/>
      <c r="C52" s="13"/>
      <c r="D52" s="13"/>
    </row>
    <row r="53" spans="1:4" x14ac:dyDescent="0.25">
      <c r="A53" s="13"/>
      <c r="B53" s="13"/>
      <c r="C53" s="13"/>
      <c r="D53" s="13"/>
    </row>
    <row r="54" spans="1:4" ht="15" customHeight="1" x14ac:dyDescent="0.25">
      <c r="A54" s="13"/>
      <c r="B54" s="13"/>
      <c r="C54" s="13"/>
      <c r="D54" s="13"/>
    </row>
    <row r="55" spans="1:4" x14ac:dyDescent="0.25">
      <c r="A55" s="11" t="s">
        <v>30</v>
      </c>
      <c r="B55" s="11"/>
      <c r="C55" s="11"/>
      <c r="D55" s="11"/>
    </row>
    <row r="56" spans="1:4" x14ac:dyDescent="0.25">
      <c r="A56" s="10" t="s">
        <v>35</v>
      </c>
      <c r="B56" s="10"/>
      <c r="C56" s="10"/>
      <c r="D56" s="10"/>
    </row>
    <row r="57" spans="1:4" x14ac:dyDescent="0.25">
      <c r="A57" s="10" t="s">
        <v>43</v>
      </c>
      <c r="B57" s="10"/>
      <c r="C57" s="10"/>
      <c r="D57" s="10"/>
    </row>
    <row r="58" spans="1:4" x14ac:dyDescent="0.25">
      <c r="A58" s="10" t="s">
        <v>42</v>
      </c>
      <c r="B58" s="10"/>
      <c r="C58" s="10"/>
      <c r="D58" s="10"/>
    </row>
    <row r="59" spans="1:4" x14ac:dyDescent="0.25">
      <c r="A59" s="10" t="s">
        <v>26</v>
      </c>
      <c r="B59" s="10"/>
      <c r="C59" s="10"/>
      <c r="D59" s="10"/>
    </row>
    <row r="60" spans="1:4" x14ac:dyDescent="0.25">
      <c r="A60" s="13"/>
      <c r="B60" s="13"/>
      <c r="C60" s="13"/>
      <c r="D60" s="13"/>
    </row>
    <row r="61" spans="1:4" ht="15.75" customHeight="1" x14ac:dyDescent="0.25">
      <c r="A61" s="9" t="s">
        <v>25</v>
      </c>
      <c r="B61" s="9" t="s">
        <v>32</v>
      </c>
      <c r="C61" s="9" t="s">
        <v>23</v>
      </c>
      <c r="D61" s="9" t="s">
        <v>23</v>
      </c>
    </row>
    <row r="62" spans="1:4" x14ac:dyDescent="0.25">
      <c r="A62" s="9" t="s">
        <v>22</v>
      </c>
      <c r="B62" s="9" t="s">
        <v>31</v>
      </c>
      <c r="C62" s="9" t="s">
        <v>20</v>
      </c>
      <c r="D62" s="9" t="s">
        <v>19</v>
      </c>
    </row>
    <row r="63" spans="1:4" s="18" customFormat="1" x14ac:dyDescent="0.25">
      <c r="A63" s="8"/>
      <c r="B63" s="8"/>
      <c r="C63" s="8" t="s">
        <v>18</v>
      </c>
      <c r="D63" s="8" t="s">
        <v>18</v>
      </c>
    </row>
    <row r="64" spans="1:4" s="18" customFormat="1" x14ac:dyDescent="0.25">
      <c r="A64" s="8">
        <v>1</v>
      </c>
      <c r="B64" s="8">
        <v>2</v>
      </c>
      <c r="C64" s="8">
        <v>3</v>
      </c>
      <c r="D64" s="8">
        <v>4</v>
      </c>
    </row>
    <row r="65" spans="1:6" x14ac:dyDescent="0.25">
      <c r="A65" s="7" t="s">
        <v>17</v>
      </c>
      <c r="B65" s="16">
        <f>2510+480+110+290</f>
        <v>3390</v>
      </c>
      <c r="C65" s="16">
        <v>17570000</v>
      </c>
      <c r="D65" s="15">
        <f>960000+440000+870000+500000</f>
        <v>2770000</v>
      </c>
      <c r="F65" s="12"/>
    </row>
    <row r="66" spans="1:6" x14ac:dyDescent="0.25">
      <c r="A66" s="6" t="s">
        <v>16</v>
      </c>
      <c r="B66" s="16">
        <f>1200+330+45+170</f>
        <v>1745</v>
      </c>
      <c r="C66" s="15">
        <v>8400000</v>
      </c>
      <c r="D66" s="15">
        <f>660000+180000+510000+500000</f>
        <v>1850000</v>
      </c>
      <c r="F66" s="12"/>
    </row>
    <row r="67" spans="1:6" x14ac:dyDescent="0.25">
      <c r="A67" s="6" t="s">
        <v>15</v>
      </c>
      <c r="B67" s="16">
        <f>1630+370+75+220</f>
        <v>2295</v>
      </c>
      <c r="C67" s="15">
        <v>11410000</v>
      </c>
      <c r="D67" s="15">
        <f>740000+300000+660000</f>
        <v>1700000</v>
      </c>
      <c r="F67" s="12"/>
    </row>
    <row r="68" spans="1:6" x14ac:dyDescent="0.25">
      <c r="A68" s="6" t="s">
        <v>14</v>
      </c>
      <c r="B68" s="16">
        <f>560+160+35+110</f>
        <v>865</v>
      </c>
      <c r="C68" s="15">
        <v>3920000</v>
      </c>
      <c r="D68" s="15">
        <f>320000+140000+330000</f>
        <v>790000</v>
      </c>
      <c r="F68" s="12"/>
    </row>
    <row r="69" spans="1:6" x14ac:dyDescent="0.25">
      <c r="A69" s="6" t="s">
        <v>13</v>
      </c>
      <c r="B69" s="16">
        <f>5700+1180+180+480+2875</f>
        <v>10415</v>
      </c>
      <c r="C69" s="15">
        <v>39900000</v>
      </c>
      <c r="D69" s="15">
        <f>2360000+720000+1440000+500000+400000</f>
        <v>5420000</v>
      </c>
      <c r="F69" s="12"/>
    </row>
    <row r="70" spans="1:6" x14ac:dyDescent="0.25">
      <c r="A70" s="6" t="s">
        <v>12</v>
      </c>
      <c r="B70" s="16">
        <f>1750+420+100+290</f>
        <v>2560</v>
      </c>
      <c r="C70" s="15">
        <v>12250000</v>
      </c>
      <c r="D70" s="15">
        <f>840000+400000+870000+500000</f>
        <v>2610000</v>
      </c>
      <c r="F70" s="12"/>
    </row>
    <row r="71" spans="1:6" x14ac:dyDescent="0.25">
      <c r="A71" s="6" t="s">
        <v>11</v>
      </c>
      <c r="B71" s="16">
        <f>1550+400+70+270</f>
        <v>2290</v>
      </c>
      <c r="C71" s="15">
        <v>10850000</v>
      </c>
      <c r="D71" s="15">
        <f>800000+280000+810000+250000</f>
        <v>2140000</v>
      </c>
      <c r="F71" s="12"/>
    </row>
    <row r="72" spans="1:6" x14ac:dyDescent="0.25">
      <c r="A72" s="6" t="s">
        <v>10</v>
      </c>
      <c r="B72" s="16">
        <f>1400+360+55+270</f>
        <v>2085</v>
      </c>
      <c r="C72" s="15">
        <v>9800000</v>
      </c>
      <c r="D72" s="15">
        <f>720000+220000+810000+250000</f>
        <v>2000000</v>
      </c>
      <c r="F72" s="12"/>
    </row>
    <row r="73" spans="1:6" x14ac:dyDescent="0.25">
      <c r="A73" s="6" t="s">
        <v>9</v>
      </c>
      <c r="B73" s="16">
        <f>1050+280+50+220</f>
        <v>1600</v>
      </c>
      <c r="C73" s="15">
        <v>7350000</v>
      </c>
      <c r="D73" s="15">
        <f>560000+200000+660000+500000</f>
        <v>1920000</v>
      </c>
      <c r="F73" s="12"/>
    </row>
    <row r="74" spans="1:6" x14ac:dyDescent="0.25">
      <c r="A74" s="6" t="s">
        <v>8</v>
      </c>
      <c r="B74" s="16">
        <f>1250+320+45+210</f>
        <v>1825</v>
      </c>
      <c r="C74" s="15">
        <v>8750000</v>
      </c>
      <c r="D74" s="15">
        <f>640000+180000+630000+600000</f>
        <v>2050000</v>
      </c>
      <c r="F74" s="12"/>
    </row>
    <row r="75" spans="1:6" x14ac:dyDescent="0.25">
      <c r="A75" s="6" t="s">
        <v>7</v>
      </c>
      <c r="B75" s="16">
        <f>1240+310+50+220</f>
        <v>1820</v>
      </c>
      <c r="C75" s="15">
        <v>8680000</v>
      </c>
      <c r="D75" s="15">
        <f>620000+200000+660000+400000</f>
        <v>1880000</v>
      </c>
      <c r="F75" s="12"/>
    </row>
    <row r="76" spans="1:6" x14ac:dyDescent="0.25">
      <c r="A76" s="6" t="s">
        <v>6</v>
      </c>
      <c r="B76" s="16">
        <f>2060+380+80+290</f>
        <v>2810</v>
      </c>
      <c r="C76" s="15">
        <v>14420000</v>
      </c>
      <c r="D76" s="15">
        <f>760000+320000+870000+500000</f>
        <v>2450000</v>
      </c>
      <c r="F76" s="12"/>
    </row>
    <row r="77" spans="1:6" ht="19.5" customHeight="1" x14ac:dyDescent="0.25">
      <c r="A77" s="6" t="s">
        <v>5</v>
      </c>
      <c r="B77" s="16">
        <f>SUM(B65:B76)</f>
        <v>33700</v>
      </c>
      <c r="C77" s="16">
        <f>SUM(C65:C76)</f>
        <v>153300000</v>
      </c>
      <c r="D77" s="16">
        <f>SUM(D65:D76)</f>
        <v>27580000</v>
      </c>
      <c r="F77" s="14">
        <f>33700-B77</f>
        <v>0</v>
      </c>
    </row>
    <row r="78" spans="1:6" ht="19.5" customHeight="1" x14ac:dyDescent="0.25">
      <c r="A78" s="6">
        <v>2021</v>
      </c>
      <c r="B78" s="16">
        <v>6890</v>
      </c>
      <c r="C78" s="16">
        <v>38525000</v>
      </c>
      <c r="D78" s="16">
        <v>4785000</v>
      </c>
      <c r="F78" s="14"/>
    </row>
    <row r="79" spans="1:6" ht="19.5" customHeight="1" x14ac:dyDescent="0.25">
      <c r="A79" s="6">
        <v>2020</v>
      </c>
      <c r="B79" s="16">
        <v>8010</v>
      </c>
      <c r="C79" s="16">
        <v>33260000</v>
      </c>
      <c r="D79" s="16">
        <v>6890000</v>
      </c>
      <c r="F79" s="14"/>
    </row>
    <row r="80" spans="1:6" ht="17.25" customHeight="1" x14ac:dyDescent="0.25">
      <c r="A80" s="6">
        <v>2019</v>
      </c>
      <c r="B80" s="16">
        <v>33620</v>
      </c>
      <c r="C80" s="16">
        <v>138200000</v>
      </c>
      <c r="D80" s="16">
        <v>22850000</v>
      </c>
      <c r="F80" s="14"/>
    </row>
    <row r="81" spans="1:6" ht="17.25" customHeight="1" x14ac:dyDescent="0.25">
      <c r="A81" s="6">
        <v>2018</v>
      </c>
      <c r="B81" s="16">
        <v>29780</v>
      </c>
      <c r="C81" s="16">
        <v>130990000</v>
      </c>
      <c r="D81" s="16">
        <v>25230000</v>
      </c>
      <c r="F81" s="14">
        <v>156220000</v>
      </c>
    </row>
    <row r="82" spans="1:6" ht="16.5" customHeight="1" x14ac:dyDescent="0.25">
      <c r="A82" s="6">
        <v>2017</v>
      </c>
      <c r="B82" s="16">
        <v>25791</v>
      </c>
      <c r="C82" s="15">
        <v>108793000</v>
      </c>
      <c r="D82" s="15">
        <v>28707000</v>
      </c>
      <c r="F82" s="14"/>
    </row>
    <row r="83" spans="1:6" ht="17.25" customHeight="1" x14ac:dyDescent="0.25">
      <c r="A83" s="6">
        <v>2016</v>
      </c>
      <c r="B83" s="16">
        <v>25754</v>
      </c>
      <c r="C83" s="15">
        <v>106170000</v>
      </c>
      <c r="D83" s="15">
        <v>16260000</v>
      </c>
      <c r="F83" s="14">
        <f>C83+D83</f>
        <v>122430000</v>
      </c>
    </row>
    <row r="84" spans="1:6" x14ac:dyDescent="0.25">
      <c r="A84" s="6">
        <v>2015</v>
      </c>
      <c r="B84" s="16">
        <v>28227</v>
      </c>
      <c r="C84" s="15">
        <v>105273000</v>
      </c>
      <c r="D84" s="15">
        <v>15862000</v>
      </c>
      <c r="F84" s="14">
        <f>C84+D84</f>
        <v>121135000</v>
      </c>
    </row>
    <row r="85" spans="1:6" x14ac:dyDescent="0.25">
      <c r="A85" s="6">
        <v>2014</v>
      </c>
      <c r="B85" s="16">
        <v>31080</v>
      </c>
      <c r="C85" s="15">
        <v>88281000</v>
      </c>
      <c r="D85" s="15">
        <v>15844000</v>
      </c>
      <c r="F85" s="14">
        <f>C85+D85</f>
        <v>104125000</v>
      </c>
    </row>
    <row r="86" spans="1:6" x14ac:dyDescent="0.25">
      <c r="A86" s="6">
        <v>2013</v>
      </c>
      <c r="B86" s="16">
        <v>21932</v>
      </c>
      <c r="C86" s="15">
        <v>59436000</v>
      </c>
      <c r="D86" s="15">
        <v>30706000</v>
      </c>
      <c r="F86" s="14">
        <f>C86+D86</f>
        <v>90142000</v>
      </c>
    </row>
    <row r="87" spans="1:6" x14ac:dyDescent="0.25">
      <c r="A87" s="6">
        <v>2012</v>
      </c>
      <c r="B87" s="16">
        <v>26314</v>
      </c>
      <c r="C87" s="15">
        <v>73605000</v>
      </c>
      <c r="D87" s="15">
        <v>11473000</v>
      </c>
      <c r="F87" s="14">
        <f>C87+D87</f>
        <v>85078000</v>
      </c>
    </row>
    <row r="88" spans="1:6" x14ac:dyDescent="0.25">
      <c r="A88" s="6">
        <v>2011</v>
      </c>
      <c r="B88" s="16">
        <v>23934</v>
      </c>
      <c r="C88" s="15">
        <v>64062000</v>
      </c>
      <c r="D88" s="15">
        <v>28882000</v>
      </c>
      <c r="F88" s="14">
        <f>C88+D88</f>
        <v>92944000</v>
      </c>
    </row>
    <row r="89" spans="1:6" x14ac:dyDescent="0.25">
      <c r="A89" s="6"/>
      <c r="B89" s="16"/>
      <c r="C89" s="23"/>
      <c r="D89" s="6"/>
    </row>
    <row r="90" spans="1:6" x14ac:dyDescent="0.25">
      <c r="A90" s="13"/>
      <c r="B90" s="13"/>
      <c r="C90" s="13"/>
      <c r="D90" s="13"/>
    </row>
    <row r="91" spans="1:6" x14ac:dyDescent="0.25">
      <c r="A91" s="13"/>
      <c r="B91" s="13"/>
      <c r="C91" s="13"/>
      <c r="D91" s="13"/>
    </row>
    <row r="92" spans="1:6" x14ac:dyDescent="0.25">
      <c r="A92" s="13"/>
      <c r="B92" s="13"/>
      <c r="C92" s="13"/>
      <c r="D92" s="13"/>
    </row>
    <row r="93" spans="1:6" x14ac:dyDescent="0.25">
      <c r="A93" s="13"/>
      <c r="B93" s="13"/>
      <c r="C93" s="13"/>
      <c r="D93" s="13"/>
    </row>
    <row r="94" spans="1:6" x14ac:dyDescent="0.25">
      <c r="A94" s="13"/>
      <c r="B94" s="13"/>
      <c r="C94" s="13"/>
      <c r="D94" s="13"/>
    </row>
    <row r="95" spans="1:6" x14ac:dyDescent="0.25">
      <c r="A95" s="13"/>
      <c r="B95" s="13"/>
      <c r="C95" s="13"/>
      <c r="D95" s="13"/>
    </row>
    <row r="96" spans="1:6" x14ac:dyDescent="0.25">
      <c r="A96" s="13"/>
      <c r="B96" s="13"/>
      <c r="C96" s="13"/>
      <c r="D96" s="13"/>
    </row>
    <row r="97" spans="1:4" x14ac:dyDescent="0.25">
      <c r="A97" s="13"/>
      <c r="B97" s="13"/>
      <c r="C97" s="13"/>
      <c r="D97" s="13"/>
    </row>
    <row r="98" spans="1:4" x14ac:dyDescent="0.25">
      <c r="A98" s="13"/>
      <c r="B98" s="13"/>
      <c r="C98" s="13"/>
      <c r="D98" s="13"/>
    </row>
    <row r="99" spans="1:4" x14ac:dyDescent="0.25">
      <c r="A99" s="13"/>
      <c r="B99" s="13"/>
      <c r="C99" s="13"/>
      <c r="D99" s="13"/>
    </row>
    <row r="100" spans="1:4" x14ac:dyDescent="0.25">
      <c r="A100" s="13"/>
      <c r="B100" s="13"/>
      <c r="C100" s="13"/>
      <c r="D100" s="13"/>
    </row>
    <row r="101" spans="1:4" x14ac:dyDescent="0.25">
      <c r="A101" s="13"/>
      <c r="B101" s="13"/>
      <c r="C101" s="13"/>
      <c r="D101" s="13"/>
    </row>
    <row r="102" spans="1:4" x14ac:dyDescent="0.25">
      <c r="A102" s="13"/>
      <c r="B102" s="13"/>
      <c r="C102" s="13"/>
      <c r="D102" s="13"/>
    </row>
    <row r="103" spans="1:4" x14ac:dyDescent="0.25">
      <c r="A103" s="13"/>
      <c r="B103" s="13"/>
      <c r="C103" s="13"/>
      <c r="D103" s="13"/>
    </row>
    <row r="104" spans="1:4" x14ac:dyDescent="0.25">
      <c r="A104" s="13"/>
      <c r="B104" s="13"/>
      <c r="C104" s="13"/>
      <c r="D104" s="13"/>
    </row>
    <row r="105" spans="1:4" x14ac:dyDescent="0.25">
      <c r="A105" s="13"/>
      <c r="B105" s="13"/>
      <c r="C105" s="13"/>
      <c r="D105" s="13"/>
    </row>
    <row r="106" spans="1:4" x14ac:dyDescent="0.25">
      <c r="A106" s="13"/>
      <c r="B106" s="13"/>
      <c r="C106" s="13"/>
      <c r="D106" s="13"/>
    </row>
    <row r="107" spans="1:4" x14ac:dyDescent="0.25">
      <c r="A107" s="13"/>
      <c r="B107" s="13"/>
      <c r="C107" s="13"/>
      <c r="D107" s="13"/>
    </row>
    <row r="108" spans="1:4" x14ac:dyDescent="0.25">
      <c r="A108" s="11" t="s">
        <v>30</v>
      </c>
      <c r="B108" s="11"/>
      <c r="C108" s="11"/>
      <c r="D108" s="11"/>
    </row>
    <row r="109" spans="1:4" x14ac:dyDescent="0.25">
      <c r="A109" s="10" t="s">
        <v>35</v>
      </c>
      <c r="B109" s="10"/>
      <c r="C109" s="10"/>
      <c r="D109" s="10"/>
    </row>
    <row r="110" spans="1:4" x14ac:dyDescent="0.25">
      <c r="A110" s="10" t="s">
        <v>41</v>
      </c>
      <c r="B110" s="10"/>
      <c r="C110" s="10"/>
      <c r="D110" s="10"/>
    </row>
    <row r="111" spans="1:4" x14ac:dyDescent="0.25">
      <c r="A111" s="10" t="s">
        <v>40</v>
      </c>
      <c r="B111" s="10"/>
      <c r="C111" s="10"/>
      <c r="D111" s="10"/>
    </row>
    <row r="112" spans="1:4" x14ac:dyDescent="0.25">
      <c r="A112" s="10" t="s">
        <v>26</v>
      </c>
      <c r="B112" s="10"/>
      <c r="C112" s="10"/>
      <c r="D112" s="10"/>
    </row>
    <row r="113" spans="1:8" x14ac:dyDescent="0.25">
      <c r="A113" s="13"/>
      <c r="B113" s="13"/>
      <c r="C113" s="13"/>
      <c r="D113" s="13"/>
    </row>
    <row r="114" spans="1:8" ht="15.75" customHeight="1" x14ac:dyDescent="0.25">
      <c r="A114" s="9" t="s">
        <v>25</v>
      </c>
      <c r="B114" s="9" t="s">
        <v>32</v>
      </c>
      <c r="C114" s="9" t="s">
        <v>23</v>
      </c>
      <c r="D114" s="9" t="s">
        <v>23</v>
      </c>
    </row>
    <row r="115" spans="1:8" x14ac:dyDescent="0.25">
      <c r="A115" s="9" t="s">
        <v>22</v>
      </c>
      <c r="B115" s="9" t="s">
        <v>31</v>
      </c>
      <c r="C115" s="9" t="s">
        <v>20</v>
      </c>
      <c r="D115" s="9" t="s">
        <v>19</v>
      </c>
    </row>
    <row r="116" spans="1:8" s="18" customFormat="1" x14ac:dyDescent="0.25">
      <c r="A116" s="8"/>
      <c r="B116" s="8"/>
      <c r="C116" s="8" t="s">
        <v>18</v>
      </c>
      <c r="D116" s="8" t="s">
        <v>18</v>
      </c>
    </row>
    <row r="117" spans="1:8" s="18" customFormat="1" x14ac:dyDescent="0.25">
      <c r="A117" s="8">
        <v>1</v>
      </c>
      <c r="B117" s="8">
        <v>2</v>
      </c>
      <c r="C117" s="8">
        <v>3</v>
      </c>
      <c r="D117" s="8">
        <v>4</v>
      </c>
    </row>
    <row r="118" spans="1:8" x14ac:dyDescent="0.25">
      <c r="A118" s="7" t="s">
        <v>17</v>
      </c>
      <c r="B118" s="4">
        <v>4562</v>
      </c>
      <c r="C118" s="3">
        <v>31934000</v>
      </c>
      <c r="D118" s="3">
        <f>715000+4178000+350000</f>
        <v>5243000</v>
      </c>
      <c r="F118" s="12">
        <f>C118+D118</f>
        <v>37177000</v>
      </c>
    </row>
    <row r="119" spans="1:8" x14ac:dyDescent="0.25">
      <c r="A119" s="6" t="s">
        <v>16</v>
      </c>
      <c r="B119" s="4">
        <v>4752</v>
      </c>
      <c r="C119" s="3">
        <v>33264000</v>
      </c>
      <c r="D119" s="3">
        <f>480000+4832000+150000</f>
        <v>5462000</v>
      </c>
      <c r="H119" s="1">
        <v>74139</v>
      </c>
    </row>
    <row r="120" spans="1:8" x14ac:dyDescent="0.25">
      <c r="A120" s="6" t="s">
        <v>15</v>
      </c>
      <c r="B120" s="4">
        <v>6721</v>
      </c>
      <c r="C120" s="3">
        <v>46942000</v>
      </c>
      <c r="D120" s="21">
        <f>925000+6470000+850000</f>
        <v>8245000</v>
      </c>
    </row>
    <row r="121" spans="1:8" x14ac:dyDescent="0.25">
      <c r="A121" s="6" t="s">
        <v>14</v>
      </c>
      <c r="B121" s="4">
        <f>1707+18000</f>
        <v>19707</v>
      </c>
      <c r="C121" s="3">
        <v>11949000</v>
      </c>
      <c r="D121" s="21">
        <f>1842000+180000000</f>
        <v>181842000</v>
      </c>
      <c r="G121" s="1">
        <f>7495*3000</f>
        <v>22485000</v>
      </c>
    </row>
    <row r="122" spans="1:8" x14ac:dyDescent="0.25">
      <c r="A122" s="6" t="s">
        <v>13</v>
      </c>
      <c r="B122" s="4">
        <v>4201</v>
      </c>
      <c r="C122" s="3">
        <v>29407000</v>
      </c>
      <c r="D122" s="21">
        <f>635000+4410000+1150000</f>
        <v>6195000</v>
      </c>
    </row>
    <row r="123" spans="1:8" x14ac:dyDescent="0.25">
      <c r="A123" s="6" t="s">
        <v>12</v>
      </c>
      <c r="B123" s="4">
        <v>2543</v>
      </c>
      <c r="C123" s="3">
        <v>17801000</v>
      </c>
      <c r="D123" s="21">
        <f>460000+2686000+235000</f>
        <v>3381000</v>
      </c>
      <c r="F123" s="1">
        <f>101172-82175</f>
        <v>18997</v>
      </c>
      <c r="H123" s="1">
        <f>15450000/3000</f>
        <v>5150</v>
      </c>
    </row>
    <row r="124" spans="1:8" x14ac:dyDescent="0.25">
      <c r="A124" s="6" t="s">
        <v>11</v>
      </c>
      <c r="B124" s="4">
        <v>1622</v>
      </c>
      <c r="C124" s="3">
        <v>11354000</v>
      </c>
      <c r="D124" s="21">
        <v>1664000</v>
      </c>
      <c r="F124" s="1">
        <f>F123+945</f>
        <v>19942</v>
      </c>
    </row>
    <row r="125" spans="1:8" x14ac:dyDescent="0.25">
      <c r="A125" s="6" t="s">
        <v>10</v>
      </c>
      <c r="B125" s="4">
        <v>3147</v>
      </c>
      <c r="C125" s="3">
        <v>22029000</v>
      </c>
      <c r="D125" s="21">
        <v>3336000</v>
      </c>
    </row>
    <row r="126" spans="1:8" x14ac:dyDescent="0.25">
      <c r="A126" s="6" t="s">
        <v>9</v>
      </c>
      <c r="B126" s="4">
        <v>3252</v>
      </c>
      <c r="C126" s="3">
        <v>22764000</v>
      </c>
      <c r="D126" s="21">
        <f>494000+3298000+170000</f>
        <v>3962000</v>
      </c>
    </row>
    <row r="127" spans="1:8" x14ac:dyDescent="0.25">
      <c r="A127" s="6" t="s">
        <v>8</v>
      </c>
      <c r="B127" s="4">
        <v>3422</v>
      </c>
      <c r="C127" s="3">
        <v>23954000</v>
      </c>
      <c r="D127" s="21">
        <f>545000+3618000+600000</f>
        <v>4763000</v>
      </c>
    </row>
    <row r="128" spans="1:8" x14ac:dyDescent="0.25">
      <c r="A128" s="6" t="s">
        <v>7</v>
      </c>
      <c r="B128" s="4">
        <v>2293</v>
      </c>
      <c r="C128" s="3">
        <v>16051000</v>
      </c>
      <c r="D128" s="21">
        <f>425000+2408000+250000+950000</f>
        <v>4033000</v>
      </c>
      <c r="F128" s="1">
        <f>250000000/15000</f>
        <v>16666.666666666668</v>
      </c>
    </row>
    <row r="129" spans="1:7" x14ac:dyDescent="0.25">
      <c r="A129" s="6" t="s">
        <v>6</v>
      </c>
      <c r="B129" s="4">
        <f>2876+7000</f>
        <v>9876</v>
      </c>
      <c r="C129" s="3">
        <v>20132000</v>
      </c>
      <c r="D129" s="21">
        <f>430000+3086000+350000+70000000</f>
        <v>73866000</v>
      </c>
      <c r="F129" s="1">
        <f>250000000*65%</f>
        <v>162500000</v>
      </c>
      <c r="G129" s="1">
        <f>F129+250000000</f>
        <v>412500000</v>
      </c>
    </row>
    <row r="130" spans="1:7" ht="27" customHeight="1" x14ac:dyDescent="0.25">
      <c r="A130" s="6" t="s">
        <v>5</v>
      </c>
      <c r="B130" s="17">
        <f>SUM(B118:B129)</f>
        <v>66098</v>
      </c>
      <c r="C130" s="17">
        <f>SUM(C118:C129)</f>
        <v>287581000</v>
      </c>
      <c r="D130" s="17">
        <f>SUM(D118:D129)</f>
        <v>301992000</v>
      </c>
      <c r="F130" s="14">
        <f>C130+D130</f>
        <v>589573000</v>
      </c>
      <c r="G130" s="1">
        <f>G129/15000</f>
        <v>27500</v>
      </c>
    </row>
    <row r="131" spans="1:7" ht="27" customHeight="1" x14ac:dyDescent="0.25">
      <c r="A131" s="6">
        <v>2021</v>
      </c>
      <c r="B131" s="17">
        <v>65448</v>
      </c>
      <c r="C131" s="17">
        <v>226685000</v>
      </c>
      <c r="D131" s="17">
        <v>120539020</v>
      </c>
      <c r="F131" s="14">
        <f>589573000</f>
        <v>589573000</v>
      </c>
    </row>
    <row r="132" spans="1:7" ht="20.25" customHeight="1" x14ac:dyDescent="0.25">
      <c r="A132" s="6">
        <v>2020</v>
      </c>
      <c r="B132" s="17">
        <v>68218</v>
      </c>
      <c r="C132" s="17">
        <v>198704000</v>
      </c>
      <c r="D132" s="17">
        <v>50776000</v>
      </c>
      <c r="F132" s="14">
        <f>D130-301992000</f>
        <v>0</v>
      </c>
      <c r="G132" s="14">
        <f>C130-287581000</f>
        <v>0</v>
      </c>
    </row>
    <row r="133" spans="1:7" ht="17.25" customHeight="1" x14ac:dyDescent="0.25">
      <c r="A133" s="6">
        <v>2019</v>
      </c>
      <c r="B133" s="17">
        <v>112757</v>
      </c>
      <c r="C133" s="17">
        <v>363287000</v>
      </c>
      <c r="D133" s="17">
        <v>169985000</v>
      </c>
      <c r="F133" s="14"/>
    </row>
    <row r="134" spans="1:7" ht="18.75" customHeight="1" x14ac:dyDescent="0.25">
      <c r="A134" s="6">
        <v>2018</v>
      </c>
      <c r="B134" s="17">
        <v>101172</v>
      </c>
      <c r="C134" s="17">
        <v>246635000</v>
      </c>
      <c r="D134" s="17">
        <v>257460000</v>
      </c>
      <c r="F134" s="14"/>
    </row>
    <row r="135" spans="1:7" ht="17.25" customHeight="1" x14ac:dyDescent="0.25">
      <c r="A135" s="6">
        <v>2017</v>
      </c>
      <c r="B135" s="17">
        <v>67530</v>
      </c>
      <c r="C135" s="15">
        <v>202590000</v>
      </c>
      <c r="D135" s="15">
        <v>399510000</v>
      </c>
      <c r="F135" s="14"/>
    </row>
    <row r="136" spans="1:7" ht="15.75" customHeight="1" x14ac:dyDescent="0.25">
      <c r="A136" s="6">
        <v>2016</v>
      </c>
      <c r="B136" s="17">
        <v>60050</v>
      </c>
      <c r="C136" s="15">
        <v>182775000</v>
      </c>
      <c r="D136" s="15">
        <v>341705000</v>
      </c>
      <c r="F136" s="14">
        <f>C136+D136</f>
        <v>524480000</v>
      </c>
    </row>
    <row r="137" spans="1:7" x14ac:dyDescent="0.25">
      <c r="A137" s="6">
        <v>2015</v>
      </c>
      <c r="B137" s="16">
        <v>62582</v>
      </c>
      <c r="C137" s="15">
        <v>180025000</v>
      </c>
      <c r="D137" s="15">
        <v>314740000</v>
      </c>
      <c r="F137" s="14">
        <f>C137+D137</f>
        <v>494765000</v>
      </c>
    </row>
    <row r="138" spans="1:7" x14ac:dyDescent="0.25">
      <c r="A138" s="6">
        <v>2014</v>
      </c>
      <c r="B138" s="16">
        <v>50795</v>
      </c>
      <c r="C138" s="15">
        <v>101590000</v>
      </c>
      <c r="D138" s="15">
        <v>199548000</v>
      </c>
      <c r="F138" s="14">
        <f>C138+D138</f>
        <v>301138000</v>
      </c>
    </row>
    <row r="139" spans="1:7" x14ac:dyDescent="0.25">
      <c r="A139" s="6">
        <v>2013</v>
      </c>
      <c r="B139" s="16">
        <v>46422</v>
      </c>
      <c r="C139" s="15">
        <v>92844000</v>
      </c>
      <c r="D139" s="15">
        <v>162917000</v>
      </c>
      <c r="F139" s="14">
        <f>C139+D139</f>
        <v>255761000</v>
      </c>
    </row>
    <row r="140" spans="1:7" x14ac:dyDescent="0.25">
      <c r="A140" s="6">
        <v>2012</v>
      </c>
      <c r="B140" s="16">
        <v>44799</v>
      </c>
      <c r="C140" s="15">
        <v>89608000</v>
      </c>
      <c r="D140" s="15">
        <v>116888000</v>
      </c>
      <c r="F140" s="14">
        <f>C140+D140</f>
        <v>206496000</v>
      </c>
    </row>
    <row r="141" spans="1:7" x14ac:dyDescent="0.25">
      <c r="A141" s="6">
        <v>2011</v>
      </c>
      <c r="B141" s="16">
        <v>41319</v>
      </c>
      <c r="C141" s="15">
        <v>82548000</v>
      </c>
      <c r="D141" s="15">
        <v>121291000</v>
      </c>
      <c r="F141" s="14">
        <f>C141+D141</f>
        <v>203839000</v>
      </c>
    </row>
    <row r="142" spans="1:7" x14ac:dyDescent="0.25">
      <c r="A142" s="6"/>
      <c r="B142" s="16"/>
      <c r="C142" s="23"/>
      <c r="D142" s="6"/>
    </row>
    <row r="143" spans="1:7" x14ac:dyDescent="0.25">
      <c r="A143" s="13"/>
      <c r="B143" s="13"/>
      <c r="C143" s="13"/>
      <c r="D143" s="13"/>
    </row>
    <row r="144" spans="1:7" x14ac:dyDescent="0.25">
      <c r="A144" s="13"/>
      <c r="B144" s="13"/>
      <c r="C144" s="13"/>
      <c r="D144" s="13"/>
    </row>
    <row r="145" spans="1:4" x14ac:dyDescent="0.25">
      <c r="A145" s="13"/>
      <c r="B145" s="13"/>
      <c r="C145" s="13"/>
      <c r="D145" s="13"/>
    </row>
    <row r="146" spans="1:4" x14ac:dyDescent="0.25">
      <c r="A146" s="13"/>
      <c r="B146" s="13"/>
      <c r="C146" s="13"/>
      <c r="D146" s="13"/>
    </row>
    <row r="147" spans="1:4" x14ac:dyDescent="0.25">
      <c r="A147" s="13"/>
      <c r="B147" s="13"/>
      <c r="C147" s="13"/>
      <c r="D147" s="13"/>
    </row>
    <row r="148" spans="1:4" x14ac:dyDescent="0.25">
      <c r="A148" s="13"/>
      <c r="B148" s="13"/>
      <c r="C148" s="13"/>
      <c r="D148" s="13"/>
    </row>
    <row r="149" spans="1:4" x14ac:dyDescent="0.25">
      <c r="A149" s="13"/>
      <c r="B149" s="13"/>
      <c r="C149" s="13"/>
      <c r="D149" s="13"/>
    </row>
    <row r="150" spans="1:4" x14ac:dyDescent="0.25">
      <c r="A150" s="13"/>
      <c r="B150" s="13"/>
      <c r="C150" s="13"/>
      <c r="D150" s="13"/>
    </row>
    <row r="151" spans="1:4" x14ac:dyDescent="0.25">
      <c r="A151" s="13"/>
      <c r="B151" s="13"/>
      <c r="C151" s="13"/>
      <c r="D151" s="13"/>
    </row>
    <row r="152" spans="1:4" x14ac:dyDescent="0.25">
      <c r="A152" s="13"/>
      <c r="B152" s="13"/>
      <c r="C152" s="13"/>
      <c r="D152" s="13"/>
    </row>
    <row r="153" spans="1:4" x14ac:dyDescent="0.25">
      <c r="A153" s="13"/>
      <c r="B153" s="13"/>
      <c r="C153" s="13"/>
      <c r="D153" s="13"/>
    </row>
    <row r="154" spans="1:4" x14ac:dyDescent="0.25">
      <c r="A154" s="13"/>
      <c r="B154" s="13"/>
      <c r="C154" s="13"/>
      <c r="D154" s="13"/>
    </row>
    <row r="155" spans="1:4" x14ac:dyDescent="0.25">
      <c r="A155" s="13"/>
      <c r="B155" s="13"/>
      <c r="C155" s="13"/>
      <c r="D155" s="13"/>
    </row>
    <row r="156" spans="1:4" x14ac:dyDescent="0.25">
      <c r="A156" s="13"/>
      <c r="B156" s="13"/>
      <c r="C156" s="13"/>
      <c r="D156" s="13"/>
    </row>
    <row r="157" spans="1:4" x14ac:dyDescent="0.25">
      <c r="A157" s="13"/>
      <c r="B157" s="13"/>
      <c r="C157" s="13"/>
      <c r="D157" s="13"/>
    </row>
    <row r="158" spans="1:4" x14ac:dyDescent="0.25">
      <c r="A158" s="13"/>
      <c r="B158" s="13"/>
      <c r="C158" s="13"/>
      <c r="D158" s="13"/>
    </row>
    <row r="159" spans="1:4" x14ac:dyDescent="0.25">
      <c r="A159" s="13"/>
      <c r="B159" s="13"/>
      <c r="C159" s="13"/>
      <c r="D159" s="13"/>
    </row>
    <row r="160" spans="1:4" x14ac:dyDescent="0.25">
      <c r="A160" s="13"/>
      <c r="B160" s="13"/>
      <c r="C160" s="13"/>
      <c r="D160" s="13"/>
    </row>
    <row r="161" spans="1:6" x14ac:dyDescent="0.25">
      <c r="A161" s="11" t="s">
        <v>30</v>
      </c>
      <c r="B161" s="11"/>
      <c r="C161" s="11"/>
      <c r="D161" s="11"/>
    </row>
    <row r="162" spans="1:6" x14ac:dyDescent="0.25">
      <c r="A162" s="10" t="s">
        <v>35</v>
      </c>
      <c r="B162" s="10"/>
      <c r="C162" s="10"/>
      <c r="D162" s="10"/>
    </row>
    <row r="163" spans="1:6" x14ac:dyDescent="0.25">
      <c r="A163" s="10" t="s">
        <v>39</v>
      </c>
      <c r="B163" s="10"/>
      <c r="C163" s="10"/>
      <c r="D163" s="10"/>
    </row>
    <row r="164" spans="1:6" x14ac:dyDescent="0.25">
      <c r="A164" s="10" t="s">
        <v>38</v>
      </c>
      <c r="B164" s="10"/>
      <c r="C164" s="10"/>
      <c r="D164" s="10"/>
    </row>
    <row r="165" spans="1:6" x14ac:dyDescent="0.25">
      <c r="A165" s="10" t="s">
        <v>26</v>
      </c>
      <c r="B165" s="10"/>
      <c r="C165" s="10"/>
      <c r="D165" s="10"/>
    </row>
    <row r="166" spans="1:6" x14ac:dyDescent="0.25">
      <c r="A166" s="13"/>
      <c r="B166" s="13"/>
      <c r="C166" s="13"/>
      <c r="D166" s="13"/>
    </row>
    <row r="167" spans="1:6" ht="15.75" customHeight="1" x14ac:dyDescent="0.25">
      <c r="A167" s="9" t="s">
        <v>25</v>
      </c>
      <c r="B167" s="9" t="s">
        <v>32</v>
      </c>
      <c r="C167" s="9" t="s">
        <v>23</v>
      </c>
      <c r="D167" s="9" t="s">
        <v>23</v>
      </c>
    </row>
    <row r="168" spans="1:6" x14ac:dyDescent="0.25">
      <c r="A168" s="9" t="s">
        <v>22</v>
      </c>
      <c r="B168" s="9" t="s">
        <v>31</v>
      </c>
      <c r="C168" s="9" t="s">
        <v>20</v>
      </c>
      <c r="D168" s="9" t="s">
        <v>19</v>
      </c>
    </row>
    <row r="169" spans="1:6" s="18" customFormat="1" x14ac:dyDescent="0.25">
      <c r="A169" s="8"/>
      <c r="B169" s="8"/>
      <c r="C169" s="8" t="s">
        <v>18</v>
      </c>
      <c r="D169" s="8" t="s">
        <v>18</v>
      </c>
    </row>
    <row r="170" spans="1:6" s="18" customFormat="1" x14ac:dyDescent="0.25">
      <c r="A170" s="8">
        <v>1</v>
      </c>
      <c r="B170" s="8">
        <v>2</v>
      </c>
      <c r="C170" s="8">
        <v>3</v>
      </c>
      <c r="D170" s="8">
        <v>4</v>
      </c>
    </row>
    <row r="171" spans="1:6" x14ac:dyDescent="0.25">
      <c r="A171" s="22" t="s">
        <v>17</v>
      </c>
      <c r="B171" s="4">
        <v>13921</v>
      </c>
      <c r="C171" s="3"/>
      <c r="D171" s="3"/>
      <c r="F171" s="12"/>
    </row>
    <row r="172" spans="1:6" x14ac:dyDescent="0.25">
      <c r="A172" s="20" t="s">
        <v>16</v>
      </c>
      <c r="B172" s="4">
        <v>4995</v>
      </c>
      <c r="C172" s="3"/>
      <c r="D172" s="3">
        <v>135500000</v>
      </c>
      <c r="F172" s="12"/>
    </row>
    <row r="173" spans="1:6" x14ac:dyDescent="0.25">
      <c r="A173" s="20" t="s">
        <v>15</v>
      </c>
      <c r="B173" s="4">
        <v>4980</v>
      </c>
      <c r="C173" s="3"/>
      <c r="D173" s="21"/>
      <c r="F173" s="12"/>
    </row>
    <row r="174" spans="1:6" x14ac:dyDescent="0.25">
      <c r="A174" s="20" t="s">
        <v>14</v>
      </c>
      <c r="B174" s="4">
        <v>1960</v>
      </c>
      <c r="C174" s="3"/>
      <c r="D174" s="21"/>
      <c r="F174" s="12"/>
    </row>
    <row r="175" spans="1:6" x14ac:dyDescent="0.25">
      <c r="A175" s="20" t="s">
        <v>13</v>
      </c>
      <c r="B175" s="4">
        <v>27569</v>
      </c>
      <c r="C175" s="3"/>
      <c r="D175" s="21">
        <f>135500000+23000000</f>
        <v>158500000</v>
      </c>
      <c r="F175" s="12"/>
    </row>
    <row r="176" spans="1:6" x14ac:dyDescent="0.25">
      <c r="A176" s="20" t="s">
        <v>12</v>
      </c>
      <c r="B176" s="4">
        <v>5974</v>
      </c>
      <c r="C176" s="3"/>
      <c r="D176" s="21"/>
      <c r="F176" s="12"/>
    </row>
    <row r="177" spans="1:8" x14ac:dyDescent="0.25">
      <c r="A177" s="20" t="s">
        <v>11</v>
      </c>
      <c r="B177" s="4">
        <v>6732</v>
      </c>
      <c r="C177" s="3"/>
      <c r="D177" s="21">
        <v>62300000</v>
      </c>
      <c r="F177" s="12"/>
    </row>
    <row r="178" spans="1:8" x14ac:dyDescent="0.25">
      <c r="A178" s="20" t="s">
        <v>10</v>
      </c>
      <c r="B178" s="4">
        <v>4995</v>
      </c>
      <c r="C178" s="3"/>
      <c r="D178" s="21"/>
      <c r="F178" s="12">
        <f>D178+C178</f>
        <v>0</v>
      </c>
    </row>
    <row r="179" spans="1:8" x14ac:dyDescent="0.25">
      <c r="A179" s="20" t="s">
        <v>9</v>
      </c>
      <c r="B179" s="4">
        <v>6989</v>
      </c>
      <c r="C179" s="3"/>
      <c r="D179" s="21"/>
      <c r="F179" s="12"/>
    </row>
    <row r="180" spans="1:8" x14ac:dyDescent="0.25">
      <c r="A180" s="20" t="s">
        <v>8</v>
      </c>
      <c r="B180" s="4">
        <v>9773</v>
      </c>
      <c r="C180" s="3"/>
      <c r="D180" s="21"/>
      <c r="F180" s="12"/>
    </row>
    <row r="181" spans="1:8" x14ac:dyDescent="0.25">
      <c r="A181" s="20" t="s">
        <v>7</v>
      </c>
      <c r="B181" s="4">
        <v>10031</v>
      </c>
      <c r="C181" s="3"/>
      <c r="D181" s="21">
        <v>77000000</v>
      </c>
      <c r="F181" s="12">
        <f>C181+D181</f>
        <v>77000000</v>
      </c>
    </row>
    <row r="182" spans="1:8" x14ac:dyDescent="0.25">
      <c r="A182" s="20" t="s">
        <v>6</v>
      </c>
      <c r="B182" s="4">
        <v>22341</v>
      </c>
      <c r="C182" s="3"/>
      <c r="D182" s="21"/>
      <c r="F182" s="12"/>
    </row>
    <row r="183" spans="1:8" ht="15" customHeight="1" x14ac:dyDescent="0.25">
      <c r="A183" s="20" t="s">
        <v>5</v>
      </c>
      <c r="B183" s="5">
        <f>SUM(B171:B182)</f>
        <v>120260</v>
      </c>
      <c r="C183" s="5">
        <f>SUM(C171:C182)</f>
        <v>0</v>
      </c>
      <c r="D183" s="5">
        <f>SUM(D171:D182)</f>
        <v>433300000</v>
      </c>
      <c r="F183" s="14">
        <f>C183+D183</f>
        <v>433300000</v>
      </c>
      <c r="G183" s="1">
        <v>88379</v>
      </c>
      <c r="H183" s="14">
        <f>G183-B183</f>
        <v>-31881</v>
      </c>
    </row>
    <row r="184" spans="1:8" ht="15" customHeight="1" x14ac:dyDescent="0.25">
      <c r="A184" s="20">
        <v>2021</v>
      </c>
      <c r="B184" s="5">
        <v>53658</v>
      </c>
      <c r="C184" s="5"/>
      <c r="D184" s="5">
        <v>266000000</v>
      </c>
      <c r="F184" s="14"/>
      <c r="H184" s="14"/>
    </row>
    <row r="185" spans="1:8" ht="17.25" customHeight="1" x14ac:dyDescent="0.25">
      <c r="A185" s="20">
        <v>2020</v>
      </c>
      <c r="B185" s="5">
        <f>14644+272960</f>
        <v>287604</v>
      </c>
      <c r="C185" s="5">
        <v>58252000</v>
      </c>
      <c r="D185" s="5">
        <v>400000000</v>
      </c>
      <c r="F185" s="14"/>
      <c r="H185" s="14"/>
    </row>
    <row r="186" spans="1:8" ht="19.5" customHeight="1" x14ac:dyDescent="0.25">
      <c r="A186" s="20">
        <v>2019</v>
      </c>
      <c r="B186" s="5">
        <v>66504</v>
      </c>
      <c r="C186" s="5">
        <v>218190000</v>
      </c>
      <c r="D186" s="5">
        <v>206000000</v>
      </c>
      <c r="F186" s="14"/>
      <c r="H186" s="14"/>
    </row>
    <row r="187" spans="1:8" ht="17.25" customHeight="1" x14ac:dyDescent="0.25">
      <c r="A187" s="20">
        <v>2018</v>
      </c>
      <c r="B187" s="5">
        <v>88379</v>
      </c>
      <c r="C187" s="5">
        <v>154223000</v>
      </c>
      <c r="D187" s="5">
        <v>233000000</v>
      </c>
      <c r="F187" s="14"/>
      <c r="H187" s="14"/>
    </row>
    <row r="188" spans="1:8" ht="18.75" customHeight="1" x14ac:dyDescent="0.25">
      <c r="A188" s="20">
        <v>2017</v>
      </c>
      <c r="B188" s="5">
        <v>32353</v>
      </c>
      <c r="C188" s="21">
        <v>97061000</v>
      </c>
      <c r="D188" s="21">
        <v>180940000</v>
      </c>
      <c r="F188" s="14"/>
    </row>
    <row r="189" spans="1:8" ht="18" customHeight="1" x14ac:dyDescent="0.25">
      <c r="A189" s="20">
        <v>2016</v>
      </c>
      <c r="B189" s="5">
        <v>37371</v>
      </c>
      <c r="C189" s="21">
        <v>112113000</v>
      </c>
      <c r="D189" s="21">
        <v>147877000</v>
      </c>
      <c r="F189" s="14">
        <f>C189+D189</f>
        <v>259990000</v>
      </c>
    </row>
    <row r="190" spans="1:8" x14ac:dyDescent="0.25">
      <c r="A190" s="20">
        <v>2015</v>
      </c>
      <c r="B190" s="4">
        <v>46824</v>
      </c>
      <c r="C190" s="21">
        <v>128010000</v>
      </c>
      <c r="D190" s="21">
        <v>75285000</v>
      </c>
      <c r="F190" s="14">
        <f>C190+D190</f>
        <v>203295000</v>
      </c>
    </row>
    <row r="191" spans="1:8" x14ac:dyDescent="0.25">
      <c r="A191" s="20">
        <v>2014</v>
      </c>
      <c r="B191" s="4">
        <f>C191/2000</f>
        <v>37458</v>
      </c>
      <c r="C191" s="21">
        <v>74916000</v>
      </c>
      <c r="D191" s="21">
        <v>45127000</v>
      </c>
      <c r="F191" s="14">
        <f>C191+D191</f>
        <v>120043000</v>
      </c>
    </row>
    <row r="192" spans="1:8" x14ac:dyDescent="0.25">
      <c r="A192" s="20">
        <v>2013</v>
      </c>
      <c r="B192" s="4">
        <v>50225</v>
      </c>
      <c r="C192" s="21">
        <v>100450000</v>
      </c>
      <c r="D192" s="21">
        <v>5725000</v>
      </c>
      <c r="F192" s="14">
        <f>C192+D192</f>
        <v>106175000</v>
      </c>
    </row>
    <row r="193" spans="1:6" x14ac:dyDescent="0.25">
      <c r="A193" s="20">
        <v>2012</v>
      </c>
      <c r="B193" s="4">
        <v>42422</v>
      </c>
      <c r="C193" s="21">
        <v>59344500</v>
      </c>
      <c r="D193" s="21">
        <v>26500000</v>
      </c>
      <c r="F193" s="14">
        <f>C193+D193</f>
        <v>85844500</v>
      </c>
    </row>
    <row r="194" spans="1:6" x14ac:dyDescent="0.25">
      <c r="A194" s="20">
        <v>2011</v>
      </c>
      <c r="B194" s="4">
        <v>29956</v>
      </c>
      <c r="C194" s="21">
        <v>52772500</v>
      </c>
      <c r="D194" s="21">
        <v>24331000</v>
      </c>
      <c r="F194" s="14">
        <f>C194+D194</f>
        <v>77103500</v>
      </c>
    </row>
    <row r="195" spans="1:6" x14ac:dyDescent="0.25">
      <c r="A195" s="20"/>
      <c r="B195" s="20"/>
      <c r="C195" s="20"/>
      <c r="D195" s="20"/>
    </row>
    <row r="196" spans="1:6" x14ac:dyDescent="0.25">
      <c r="A196" s="19"/>
      <c r="B196" s="19"/>
      <c r="C196" s="19"/>
      <c r="D196" s="19"/>
    </row>
    <row r="197" spans="1:6" x14ac:dyDescent="0.25">
      <c r="A197" s="13"/>
      <c r="B197" s="13"/>
      <c r="C197" s="13"/>
      <c r="D197" s="13"/>
    </row>
    <row r="198" spans="1:6" x14ac:dyDescent="0.25">
      <c r="A198" s="13"/>
      <c r="B198" s="13"/>
      <c r="C198" s="13"/>
      <c r="D198" s="13"/>
    </row>
    <row r="199" spans="1:6" x14ac:dyDescent="0.25">
      <c r="A199" s="13"/>
      <c r="B199" s="13"/>
      <c r="C199" s="13"/>
      <c r="D199" s="13"/>
    </row>
    <row r="200" spans="1:6" x14ac:dyDescent="0.25">
      <c r="A200" s="13"/>
      <c r="B200" s="13"/>
      <c r="C200" s="13"/>
      <c r="D200" s="13"/>
    </row>
    <row r="201" spans="1:6" x14ac:dyDescent="0.25">
      <c r="A201" s="13"/>
      <c r="B201" s="13"/>
      <c r="C201" s="13"/>
      <c r="D201" s="13"/>
    </row>
    <row r="202" spans="1:6" x14ac:dyDescent="0.25">
      <c r="A202" s="13"/>
      <c r="B202" s="13"/>
      <c r="C202" s="13"/>
      <c r="D202" s="13"/>
    </row>
    <row r="203" spans="1:6" x14ac:dyDescent="0.25">
      <c r="A203" s="13"/>
      <c r="B203" s="13"/>
      <c r="C203" s="13"/>
      <c r="D203" s="13"/>
    </row>
    <row r="204" spans="1:6" x14ac:dyDescent="0.25">
      <c r="A204" s="13"/>
      <c r="B204" s="13"/>
      <c r="C204" s="13"/>
      <c r="D204" s="13"/>
    </row>
    <row r="205" spans="1:6" x14ac:dyDescent="0.25">
      <c r="A205" s="13"/>
      <c r="B205" s="13"/>
      <c r="C205" s="13"/>
      <c r="D205" s="13"/>
    </row>
    <row r="206" spans="1:6" x14ac:dyDescent="0.25">
      <c r="A206" s="13"/>
      <c r="B206" s="13"/>
      <c r="C206" s="13"/>
      <c r="D206" s="13"/>
    </row>
    <row r="207" spans="1:6" x14ac:dyDescent="0.25">
      <c r="A207" s="13"/>
      <c r="B207" s="13"/>
      <c r="C207" s="13"/>
      <c r="D207" s="13"/>
    </row>
    <row r="208" spans="1:6" x14ac:dyDescent="0.25">
      <c r="A208" s="13"/>
      <c r="B208" s="13"/>
      <c r="C208" s="13"/>
      <c r="D208" s="13"/>
    </row>
    <row r="209" spans="1:4" x14ac:dyDescent="0.25">
      <c r="A209" s="13"/>
      <c r="B209" s="13"/>
      <c r="C209" s="13"/>
      <c r="D209" s="13"/>
    </row>
    <row r="210" spans="1:4" x14ac:dyDescent="0.25">
      <c r="A210" s="13"/>
      <c r="B210" s="13"/>
      <c r="C210" s="13"/>
      <c r="D210" s="13"/>
    </row>
    <row r="211" spans="1:4" x14ac:dyDescent="0.25">
      <c r="A211" s="13"/>
      <c r="B211" s="13"/>
      <c r="C211" s="13"/>
      <c r="D211" s="13"/>
    </row>
    <row r="212" spans="1:4" x14ac:dyDescent="0.25">
      <c r="A212" s="13"/>
      <c r="B212" s="13"/>
      <c r="C212" s="13"/>
      <c r="D212" s="13"/>
    </row>
    <row r="213" spans="1:4" x14ac:dyDescent="0.25">
      <c r="A213" s="13"/>
      <c r="B213" s="13"/>
      <c r="C213" s="13"/>
      <c r="D213" s="13"/>
    </row>
    <row r="214" spans="1:4" x14ac:dyDescent="0.25">
      <c r="A214" s="11" t="s">
        <v>30</v>
      </c>
      <c r="B214" s="11"/>
      <c r="C214" s="11"/>
      <c r="D214" s="11"/>
    </row>
    <row r="215" spans="1:4" x14ac:dyDescent="0.25">
      <c r="A215" s="10" t="s">
        <v>35</v>
      </c>
      <c r="B215" s="10"/>
      <c r="C215" s="10"/>
      <c r="D215" s="10"/>
    </row>
    <row r="216" spans="1:4" x14ac:dyDescent="0.25">
      <c r="A216" s="10" t="s">
        <v>37</v>
      </c>
      <c r="B216" s="10"/>
      <c r="C216" s="10"/>
      <c r="D216" s="10"/>
    </row>
    <row r="217" spans="1:4" x14ac:dyDescent="0.25">
      <c r="A217" s="10" t="s">
        <v>36</v>
      </c>
      <c r="B217" s="10"/>
      <c r="C217" s="10"/>
      <c r="D217" s="10"/>
    </row>
    <row r="218" spans="1:4" x14ac:dyDescent="0.25">
      <c r="A218" s="10" t="s">
        <v>26</v>
      </c>
      <c r="B218" s="10"/>
      <c r="C218" s="10"/>
      <c r="D218" s="10"/>
    </row>
    <row r="219" spans="1:4" x14ac:dyDescent="0.25">
      <c r="A219" s="13"/>
      <c r="B219" s="13"/>
      <c r="C219" s="13"/>
      <c r="D219" s="13"/>
    </row>
    <row r="220" spans="1:4" ht="15.75" customHeight="1" x14ac:dyDescent="0.25">
      <c r="A220" s="9" t="s">
        <v>25</v>
      </c>
      <c r="B220" s="9" t="s">
        <v>32</v>
      </c>
      <c r="C220" s="9" t="s">
        <v>23</v>
      </c>
      <c r="D220" s="9" t="s">
        <v>23</v>
      </c>
    </row>
    <row r="221" spans="1:4" x14ac:dyDescent="0.25">
      <c r="A221" s="9" t="s">
        <v>22</v>
      </c>
      <c r="B221" s="9" t="s">
        <v>31</v>
      </c>
      <c r="C221" s="9" t="s">
        <v>20</v>
      </c>
      <c r="D221" s="9" t="s">
        <v>19</v>
      </c>
    </row>
    <row r="222" spans="1:4" s="18" customFormat="1" x14ac:dyDescent="0.25">
      <c r="A222" s="8"/>
      <c r="B222" s="8"/>
      <c r="C222" s="8" t="s">
        <v>18</v>
      </c>
      <c r="D222" s="8" t="s">
        <v>18</v>
      </c>
    </row>
    <row r="223" spans="1:4" s="18" customFormat="1" x14ac:dyDescent="0.25">
      <c r="A223" s="8">
        <v>1</v>
      </c>
      <c r="B223" s="8">
        <v>2</v>
      </c>
      <c r="C223" s="8">
        <v>3</v>
      </c>
      <c r="D223" s="8">
        <v>4</v>
      </c>
    </row>
    <row r="224" spans="1:4" x14ac:dyDescent="0.25">
      <c r="A224" s="7" t="s">
        <v>17</v>
      </c>
      <c r="B224" s="4">
        <v>1292</v>
      </c>
      <c r="C224" s="3">
        <v>1227400</v>
      </c>
      <c r="D224" s="2"/>
    </row>
    <row r="225" spans="1:6" x14ac:dyDescent="0.25">
      <c r="A225" s="6" t="s">
        <v>16</v>
      </c>
      <c r="B225" s="4">
        <v>14685</v>
      </c>
      <c r="C225" s="3">
        <v>13950750</v>
      </c>
      <c r="D225" s="2"/>
    </row>
    <row r="226" spans="1:6" x14ac:dyDescent="0.25">
      <c r="A226" s="6" t="s">
        <v>15</v>
      </c>
      <c r="B226" s="4">
        <v>4876</v>
      </c>
      <c r="C226" s="3">
        <v>4632200</v>
      </c>
      <c r="D226" s="2"/>
    </row>
    <row r="227" spans="1:6" x14ac:dyDescent="0.25">
      <c r="A227" s="6" t="s">
        <v>14</v>
      </c>
      <c r="B227" s="4">
        <v>4894</v>
      </c>
      <c r="C227" s="3">
        <v>4649300</v>
      </c>
      <c r="D227" s="2"/>
    </row>
    <row r="228" spans="1:6" x14ac:dyDescent="0.25">
      <c r="A228" s="6" t="s">
        <v>13</v>
      </c>
      <c r="B228" s="4">
        <v>17370</v>
      </c>
      <c r="C228" s="3">
        <v>16501500</v>
      </c>
      <c r="D228" s="2"/>
    </row>
    <row r="229" spans="1:6" x14ac:dyDescent="0.25">
      <c r="A229" s="6" t="s">
        <v>12</v>
      </c>
      <c r="B229" s="4">
        <v>8882</v>
      </c>
      <c r="C229" s="3">
        <v>8437900</v>
      </c>
      <c r="D229" s="2"/>
    </row>
    <row r="230" spans="1:6" x14ac:dyDescent="0.25">
      <c r="A230" s="6" t="s">
        <v>11</v>
      </c>
      <c r="B230" s="4">
        <v>4979</v>
      </c>
      <c r="C230" s="3">
        <v>4730050</v>
      </c>
      <c r="D230" s="2"/>
    </row>
    <row r="231" spans="1:6" x14ac:dyDescent="0.25">
      <c r="A231" s="6" t="s">
        <v>10</v>
      </c>
      <c r="B231" s="4">
        <v>5494</v>
      </c>
      <c r="C231" s="3">
        <v>5219300</v>
      </c>
      <c r="D231" s="2"/>
    </row>
    <row r="232" spans="1:6" x14ac:dyDescent="0.25">
      <c r="A232" s="6" t="s">
        <v>9</v>
      </c>
      <c r="B232" s="4">
        <v>3551</v>
      </c>
      <c r="C232" s="3">
        <v>3373450</v>
      </c>
      <c r="D232" s="2"/>
    </row>
    <row r="233" spans="1:6" x14ac:dyDescent="0.25">
      <c r="A233" s="6" t="s">
        <v>8</v>
      </c>
      <c r="B233" s="4">
        <v>3502</v>
      </c>
      <c r="C233" s="3">
        <v>3326900</v>
      </c>
      <c r="D233" s="2"/>
    </row>
    <row r="234" spans="1:6" x14ac:dyDescent="0.25">
      <c r="A234" s="6" t="s">
        <v>7</v>
      </c>
      <c r="B234" s="4">
        <v>3207</v>
      </c>
      <c r="C234" s="3">
        <v>3046650</v>
      </c>
      <c r="D234" s="2"/>
    </row>
    <row r="235" spans="1:6" x14ac:dyDescent="0.25">
      <c r="A235" s="6" t="s">
        <v>6</v>
      </c>
      <c r="B235" s="4">
        <v>8081</v>
      </c>
      <c r="C235" s="3">
        <v>7676950</v>
      </c>
      <c r="D235" s="2"/>
    </row>
    <row r="236" spans="1:6" ht="27.75" customHeight="1" x14ac:dyDescent="0.25">
      <c r="A236" s="6" t="s">
        <v>5</v>
      </c>
      <c r="B236" s="5">
        <f>SUM(B224:B235)</f>
        <v>80813</v>
      </c>
      <c r="C236" s="5">
        <f>SUM(C224:C235)</f>
        <v>76772350</v>
      </c>
      <c r="D236" s="5"/>
      <c r="F236" s="14">
        <f>C236</f>
        <v>76772350</v>
      </c>
    </row>
    <row r="237" spans="1:6" ht="27.75" customHeight="1" x14ac:dyDescent="0.25">
      <c r="A237" s="6">
        <v>2021</v>
      </c>
      <c r="B237" s="5">
        <v>80548</v>
      </c>
      <c r="C237" s="5">
        <v>76520600</v>
      </c>
      <c r="D237" s="5"/>
      <c r="F237" s="14"/>
    </row>
    <row r="238" spans="1:6" ht="27.75" customHeight="1" x14ac:dyDescent="0.25">
      <c r="A238" s="6">
        <v>2020</v>
      </c>
      <c r="B238" s="5">
        <v>69805</v>
      </c>
      <c r="C238" s="5">
        <v>68110250</v>
      </c>
      <c r="D238" s="5"/>
      <c r="F238" s="14"/>
    </row>
    <row r="239" spans="1:6" ht="19.5" customHeight="1" x14ac:dyDescent="0.25">
      <c r="A239" s="6">
        <v>2019</v>
      </c>
      <c r="B239" s="5">
        <v>119744</v>
      </c>
      <c r="C239" s="5">
        <v>113756350</v>
      </c>
      <c r="D239" s="17"/>
      <c r="F239" s="14"/>
    </row>
    <row r="240" spans="1:6" ht="17.25" customHeight="1" x14ac:dyDescent="0.25">
      <c r="A240" s="6">
        <v>2018</v>
      </c>
      <c r="B240" s="5">
        <v>117575</v>
      </c>
      <c r="C240" s="5">
        <v>111696250</v>
      </c>
      <c r="D240" s="17"/>
      <c r="F240" s="14"/>
    </row>
    <row r="241" spans="1:6" ht="17.25" customHeight="1" x14ac:dyDescent="0.25">
      <c r="A241" s="6">
        <v>2017</v>
      </c>
      <c r="B241" s="17">
        <v>115199</v>
      </c>
      <c r="C241" s="15">
        <v>109439050</v>
      </c>
      <c r="D241" s="17"/>
      <c r="F241" s="14"/>
    </row>
    <row r="242" spans="1:6" ht="17.25" customHeight="1" x14ac:dyDescent="0.25">
      <c r="A242" s="6">
        <v>2016</v>
      </c>
      <c r="B242" s="17">
        <v>147228</v>
      </c>
      <c r="C242" s="15">
        <v>139866600</v>
      </c>
      <c r="D242" s="17"/>
      <c r="F242" s="14">
        <f>C242</f>
        <v>139866600</v>
      </c>
    </row>
    <row r="243" spans="1:6" x14ac:dyDescent="0.25">
      <c r="A243" s="6">
        <v>2015</v>
      </c>
      <c r="B243" s="16">
        <v>138983</v>
      </c>
      <c r="C243" s="15">
        <v>125176930</v>
      </c>
      <c r="D243" s="6"/>
      <c r="F243" s="14">
        <f>C243</f>
        <v>125176930</v>
      </c>
    </row>
    <row r="244" spans="1:6" x14ac:dyDescent="0.25">
      <c r="A244" s="6">
        <v>2014</v>
      </c>
      <c r="B244" s="16">
        <v>87233</v>
      </c>
      <c r="C244" s="15">
        <v>64552420</v>
      </c>
      <c r="D244" s="6"/>
      <c r="F244" s="14">
        <f>C244</f>
        <v>64552420</v>
      </c>
    </row>
    <row r="245" spans="1:6" x14ac:dyDescent="0.25">
      <c r="A245" s="6">
        <v>2013</v>
      </c>
      <c r="B245" s="16">
        <v>79374</v>
      </c>
      <c r="C245" s="15">
        <v>55856480</v>
      </c>
      <c r="D245" s="6"/>
      <c r="F245" s="14">
        <f>C245</f>
        <v>55856480</v>
      </c>
    </row>
    <row r="246" spans="1:6" x14ac:dyDescent="0.25">
      <c r="A246" s="6">
        <v>2012</v>
      </c>
      <c r="B246" s="16">
        <v>79579</v>
      </c>
      <c r="C246" s="15">
        <v>48665130</v>
      </c>
      <c r="D246" s="6"/>
      <c r="F246" s="14">
        <f>C246</f>
        <v>48665130</v>
      </c>
    </row>
    <row r="247" spans="1:6" x14ac:dyDescent="0.25">
      <c r="A247" s="6">
        <v>2011</v>
      </c>
      <c r="B247" s="16">
        <v>63963</v>
      </c>
      <c r="C247" s="15">
        <v>39787420</v>
      </c>
      <c r="D247" s="6"/>
      <c r="F247" s="14">
        <f>C247</f>
        <v>39787420</v>
      </c>
    </row>
    <row r="248" spans="1:6" x14ac:dyDescent="0.25">
      <c r="A248" s="6"/>
      <c r="B248" s="6"/>
      <c r="C248" s="6"/>
      <c r="D248" s="6"/>
    </row>
    <row r="249" spans="1:6" x14ac:dyDescent="0.25">
      <c r="A249" s="13"/>
      <c r="B249" s="13"/>
      <c r="C249" s="13"/>
      <c r="D249" s="13"/>
    </row>
    <row r="255" spans="1:6" x14ac:dyDescent="0.25">
      <c r="A255" s="11" t="s">
        <v>30</v>
      </c>
      <c r="B255" s="11"/>
      <c r="C255" s="11"/>
      <c r="D255" s="11"/>
    </row>
    <row r="256" spans="1:6" x14ac:dyDescent="0.25">
      <c r="A256" s="10" t="s">
        <v>35</v>
      </c>
      <c r="B256" s="10"/>
      <c r="C256" s="10"/>
      <c r="D256" s="10"/>
    </row>
    <row r="257" spans="1:6" x14ac:dyDescent="0.25">
      <c r="A257" s="10" t="s">
        <v>34</v>
      </c>
      <c r="B257" s="10"/>
      <c r="C257" s="10"/>
      <c r="D257" s="10"/>
    </row>
    <row r="258" spans="1:6" x14ac:dyDescent="0.25">
      <c r="A258" s="10" t="s">
        <v>33</v>
      </c>
      <c r="B258" s="10"/>
      <c r="C258" s="10"/>
      <c r="D258" s="10"/>
    </row>
    <row r="259" spans="1:6" x14ac:dyDescent="0.25">
      <c r="A259" s="10" t="s">
        <v>26</v>
      </c>
      <c r="B259" s="10"/>
      <c r="C259" s="10"/>
      <c r="D259" s="10"/>
    </row>
    <row r="260" spans="1:6" x14ac:dyDescent="0.25">
      <c r="A260" s="13"/>
      <c r="B260" s="13"/>
      <c r="C260" s="13"/>
      <c r="D260" s="13"/>
    </row>
    <row r="261" spans="1:6" x14ac:dyDescent="0.25">
      <c r="A261" s="9" t="s">
        <v>25</v>
      </c>
      <c r="B261" s="9" t="s">
        <v>32</v>
      </c>
      <c r="C261" s="9" t="s">
        <v>23</v>
      </c>
      <c r="D261" s="9" t="s">
        <v>23</v>
      </c>
    </row>
    <row r="262" spans="1:6" x14ac:dyDescent="0.25">
      <c r="A262" s="9" t="s">
        <v>22</v>
      </c>
      <c r="B262" s="9" t="s">
        <v>31</v>
      </c>
      <c r="C262" s="9" t="s">
        <v>20</v>
      </c>
      <c r="D262" s="9" t="s">
        <v>19</v>
      </c>
    </row>
    <row r="263" spans="1:6" x14ac:dyDescent="0.25">
      <c r="A263" s="8"/>
      <c r="B263" s="8"/>
      <c r="C263" s="8" t="s">
        <v>18</v>
      </c>
      <c r="D263" s="8" t="s">
        <v>18</v>
      </c>
    </row>
    <row r="264" spans="1:6" x14ac:dyDescent="0.25">
      <c r="A264" s="8">
        <v>1</v>
      </c>
      <c r="B264" s="8">
        <v>2</v>
      </c>
      <c r="C264" s="8">
        <v>3</v>
      </c>
      <c r="D264" s="8">
        <v>4</v>
      </c>
    </row>
    <row r="265" spans="1:6" x14ac:dyDescent="0.25">
      <c r="A265" s="7" t="s">
        <v>17</v>
      </c>
      <c r="B265" s="4">
        <v>3534</v>
      </c>
      <c r="C265" s="3">
        <v>5300000</v>
      </c>
      <c r="D265" s="2"/>
    </row>
    <row r="266" spans="1:6" x14ac:dyDescent="0.25">
      <c r="A266" s="6" t="s">
        <v>16</v>
      </c>
      <c r="B266" s="4">
        <v>1250</v>
      </c>
      <c r="C266" s="3">
        <v>1875000</v>
      </c>
      <c r="D266" s="2"/>
    </row>
    <row r="267" spans="1:6" x14ac:dyDescent="0.25">
      <c r="A267" s="6" t="s">
        <v>15</v>
      </c>
      <c r="B267" s="4">
        <v>1450</v>
      </c>
      <c r="C267" s="3">
        <v>2175000</v>
      </c>
      <c r="D267" s="2"/>
      <c r="F267" s="12">
        <f>C267+C266+C265</f>
        <v>9350000</v>
      </c>
    </row>
    <row r="268" spans="1:6" x14ac:dyDescent="0.25">
      <c r="A268" s="6" t="s">
        <v>14</v>
      </c>
      <c r="B268" s="4">
        <v>440</v>
      </c>
      <c r="C268" s="3">
        <v>660000</v>
      </c>
      <c r="D268" s="2"/>
    </row>
    <row r="269" spans="1:6" x14ac:dyDescent="0.25">
      <c r="A269" s="6" t="s">
        <v>13</v>
      </c>
      <c r="B269" s="4">
        <v>7743</v>
      </c>
      <c r="C269" s="3">
        <v>11614500</v>
      </c>
      <c r="D269" s="2"/>
    </row>
    <row r="270" spans="1:6" x14ac:dyDescent="0.25">
      <c r="A270" s="6" t="s">
        <v>12</v>
      </c>
      <c r="B270" s="4">
        <v>1959</v>
      </c>
      <c r="C270" s="3">
        <v>2938500</v>
      </c>
      <c r="D270" s="2"/>
    </row>
    <row r="271" spans="1:6" x14ac:dyDescent="0.25">
      <c r="A271" s="6" t="s">
        <v>11</v>
      </c>
      <c r="B271" s="4">
        <v>2480</v>
      </c>
      <c r="C271" s="3">
        <v>3720000</v>
      </c>
      <c r="D271" s="2"/>
    </row>
    <row r="272" spans="1:6" x14ac:dyDescent="0.25">
      <c r="A272" s="6" t="s">
        <v>10</v>
      </c>
      <c r="B272" s="4">
        <v>1465</v>
      </c>
      <c r="C272" s="3">
        <v>2197500</v>
      </c>
      <c r="D272" s="2"/>
    </row>
    <row r="273" spans="1:4" x14ac:dyDescent="0.25">
      <c r="A273" s="6" t="s">
        <v>9</v>
      </c>
      <c r="B273" s="4">
        <v>1254</v>
      </c>
      <c r="C273" s="3">
        <v>1881000</v>
      </c>
      <c r="D273" s="2"/>
    </row>
    <row r="274" spans="1:4" x14ac:dyDescent="0.25">
      <c r="A274" s="6" t="s">
        <v>8</v>
      </c>
      <c r="B274" s="4">
        <v>1711</v>
      </c>
      <c r="C274" s="3">
        <v>0</v>
      </c>
      <c r="D274" s="2"/>
    </row>
    <row r="275" spans="1:4" x14ac:dyDescent="0.25">
      <c r="A275" s="6" t="s">
        <v>7</v>
      </c>
      <c r="B275" s="4">
        <v>1110</v>
      </c>
      <c r="C275" s="3">
        <v>0</v>
      </c>
      <c r="D275" s="2"/>
    </row>
    <row r="276" spans="1:4" x14ac:dyDescent="0.25">
      <c r="A276" s="6" t="s">
        <v>6</v>
      </c>
      <c r="B276" s="4">
        <v>1533</v>
      </c>
      <c r="C276" s="3">
        <v>0</v>
      </c>
      <c r="D276" s="2"/>
    </row>
    <row r="277" spans="1:4" x14ac:dyDescent="0.25">
      <c r="A277" s="6" t="s">
        <v>5</v>
      </c>
      <c r="B277" s="5">
        <f>SUM(B265:B276)</f>
        <v>25929</v>
      </c>
      <c r="C277" s="5">
        <f>SUM(C265:C276)</f>
        <v>32361500</v>
      </c>
      <c r="D277" s="5"/>
    </row>
    <row r="282" spans="1:4" x14ac:dyDescent="0.25">
      <c r="A282" s="11" t="s">
        <v>30</v>
      </c>
      <c r="B282" s="11"/>
      <c r="C282" s="11"/>
      <c r="D282" s="11"/>
    </row>
    <row r="283" spans="1:4" x14ac:dyDescent="0.25">
      <c r="A283" s="10" t="s">
        <v>29</v>
      </c>
      <c r="B283" s="10"/>
      <c r="C283" s="10"/>
      <c r="D283" s="10"/>
    </row>
    <row r="284" spans="1:4" x14ac:dyDescent="0.25">
      <c r="A284" s="10" t="s">
        <v>28</v>
      </c>
      <c r="B284" s="10"/>
      <c r="C284" s="10"/>
      <c r="D284" s="10"/>
    </row>
    <row r="285" spans="1:4" x14ac:dyDescent="0.25">
      <c r="A285" s="10" t="s">
        <v>27</v>
      </c>
      <c r="B285" s="10"/>
      <c r="C285" s="10"/>
      <c r="D285" s="10"/>
    </row>
    <row r="286" spans="1:4" x14ac:dyDescent="0.25">
      <c r="A286" s="10" t="s">
        <v>26</v>
      </c>
      <c r="B286" s="10"/>
      <c r="C286" s="10"/>
      <c r="D286" s="10"/>
    </row>
    <row r="288" spans="1:4" x14ac:dyDescent="0.25">
      <c r="A288" s="9" t="s">
        <v>25</v>
      </c>
      <c r="B288" s="9" t="s">
        <v>24</v>
      </c>
      <c r="C288" s="9" t="s">
        <v>23</v>
      </c>
      <c r="D288" s="9" t="s">
        <v>23</v>
      </c>
    </row>
    <row r="289" spans="1:4" x14ac:dyDescent="0.25">
      <c r="A289" s="9" t="s">
        <v>22</v>
      </c>
      <c r="B289" s="9" t="s">
        <v>21</v>
      </c>
      <c r="C289" s="9" t="s">
        <v>20</v>
      </c>
      <c r="D289" s="9" t="s">
        <v>19</v>
      </c>
    </row>
    <row r="290" spans="1:4" x14ac:dyDescent="0.25">
      <c r="A290" s="8"/>
      <c r="B290" s="8"/>
      <c r="C290" s="8" t="s">
        <v>18</v>
      </c>
      <c r="D290" s="8" t="s">
        <v>18</v>
      </c>
    </row>
    <row r="291" spans="1:4" x14ac:dyDescent="0.25">
      <c r="A291" s="8">
        <v>1</v>
      </c>
      <c r="B291" s="8">
        <v>2</v>
      </c>
      <c r="C291" s="8">
        <v>3</v>
      </c>
      <c r="D291" s="8">
        <v>4</v>
      </c>
    </row>
    <row r="292" spans="1:4" x14ac:dyDescent="0.25">
      <c r="A292" s="7" t="s">
        <v>17</v>
      </c>
      <c r="B292" s="4">
        <v>218</v>
      </c>
      <c r="C292" s="3">
        <v>38450000</v>
      </c>
      <c r="D292" s="2"/>
    </row>
    <row r="293" spans="1:4" x14ac:dyDescent="0.25">
      <c r="A293" s="6" t="s">
        <v>16</v>
      </c>
      <c r="B293" s="4">
        <f>94+93</f>
        <v>187</v>
      </c>
      <c r="C293" s="3">
        <v>32750000</v>
      </c>
      <c r="D293" s="2"/>
    </row>
    <row r="294" spans="1:4" x14ac:dyDescent="0.25">
      <c r="A294" s="6" t="s">
        <v>15</v>
      </c>
      <c r="B294" s="4">
        <f>3+111+118</f>
        <v>232</v>
      </c>
      <c r="C294" s="3">
        <v>40800000</v>
      </c>
      <c r="D294" s="2"/>
    </row>
    <row r="295" spans="1:4" x14ac:dyDescent="0.25">
      <c r="A295" s="6" t="s">
        <v>14</v>
      </c>
      <c r="B295" s="4">
        <v>160</v>
      </c>
      <c r="C295" s="3">
        <v>28100000</v>
      </c>
      <c r="D295" s="2"/>
    </row>
    <row r="296" spans="1:4" x14ac:dyDescent="0.25">
      <c r="A296" s="6" t="s">
        <v>13</v>
      </c>
      <c r="B296" s="4">
        <f>3+121+122</f>
        <v>246</v>
      </c>
      <c r="C296" s="3">
        <v>43400000</v>
      </c>
      <c r="D296" s="2"/>
    </row>
    <row r="297" spans="1:4" x14ac:dyDescent="0.25">
      <c r="A297" s="6" t="s">
        <v>12</v>
      </c>
      <c r="B297" s="4">
        <f>105+108</f>
        <v>213</v>
      </c>
      <c r="C297" s="3">
        <v>37400000</v>
      </c>
      <c r="D297" s="2"/>
    </row>
    <row r="298" spans="1:4" x14ac:dyDescent="0.25">
      <c r="A298" s="6" t="s">
        <v>11</v>
      </c>
      <c r="B298" s="4">
        <v>210</v>
      </c>
      <c r="C298" s="3">
        <v>36800000</v>
      </c>
      <c r="D298" s="2"/>
    </row>
    <row r="299" spans="1:4" x14ac:dyDescent="0.25">
      <c r="A299" s="6" t="s">
        <v>10</v>
      </c>
      <c r="B299" s="4">
        <v>232</v>
      </c>
      <c r="C299" s="3">
        <v>40400000</v>
      </c>
      <c r="D299" s="2"/>
    </row>
    <row r="300" spans="1:4" x14ac:dyDescent="0.25">
      <c r="A300" s="6" t="s">
        <v>9</v>
      </c>
      <c r="B300" s="4">
        <v>212</v>
      </c>
      <c r="C300" s="3">
        <v>38600000</v>
      </c>
      <c r="D300" s="2"/>
    </row>
    <row r="301" spans="1:4" x14ac:dyDescent="0.25">
      <c r="A301" s="6" t="s">
        <v>8</v>
      </c>
      <c r="B301" s="4">
        <v>222</v>
      </c>
      <c r="C301" s="3">
        <v>38850000</v>
      </c>
      <c r="D301" s="2"/>
    </row>
    <row r="302" spans="1:4" x14ac:dyDescent="0.25">
      <c r="A302" s="6" t="s">
        <v>7</v>
      </c>
      <c r="B302" s="4">
        <v>204</v>
      </c>
      <c r="C302" s="3">
        <v>35850000</v>
      </c>
      <c r="D302" s="2"/>
    </row>
    <row r="303" spans="1:4" x14ac:dyDescent="0.25">
      <c r="A303" s="6" t="s">
        <v>6</v>
      </c>
      <c r="B303" s="4">
        <f>3+109+106</f>
        <v>218</v>
      </c>
      <c r="C303" s="3">
        <v>38600000</v>
      </c>
      <c r="D303" s="2"/>
    </row>
    <row r="304" spans="1:4" x14ac:dyDescent="0.25">
      <c r="A304" s="6" t="s">
        <v>5</v>
      </c>
      <c r="B304" s="5">
        <f>SUM(B292:B303)</f>
        <v>2554</v>
      </c>
      <c r="C304" s="3">
        <f>SUM(C292:C303)</f>
        <v>450000000</v>
      </c>
      <c r="D304" s="5"/>
    </row>
    <row r="305" spans="1:4" x14ac:dyDescent="0.25">
      <c r="A305" s="5" t="s">
        <v>4</v>
      </c>
      <c r="B305" s="4">
        <v>2234</v>
      </c>
      <c r="C305" s="3">
        <v>366775000</v>
      </c>
      <c r="D305" s="2"/>
    </row>
    <row r="306" spans="1:4" x14ac:dyDescent="0.25">
      <c r="A306" s="5" t="s">
        <v>3</v>
      </c>
      <c r="B306" s="4">
        <v>2230</v>
      </c>
      <c r="C306" s="3">
        <v>345975000</v>
      </c>
      <c r="D306" s="2"/>
    </row>
    <row r="307" spans="1:4" x14ac:dyDescent="0.25">
      <c r="A307" s="5" t="s">
        <v>2</v>
      </c>
      <c r="B307" s="4">
        <v>2280</v>
      </c>
      <c r="C307" s="3">
        <v>351050000</v>
      </c>
      <c r="D307" s="2"/>
    </row>
    <row r="308" spans="1:4" x14ac:dyDescent="0.25">
      <c r="A308" s="5" t="s">
        <v>1</v>
      </c>
      <c r="B308" s="4">
        <v>2079</v>
      </c>
      <c r="C308" s="3">
        <v>327350000</v>
      </c>
      <c r="D308" s="2"/>
    </row>
    <row r="309" spans="1:4" x14ac:dyDescent="0.25">
      <c r="A309" s="5" t="s">
        <v>0</v>
      </c>
      <c r="B309" s="4">
        <v>1817</v>
      </c>
      <c r="C309" s="3">
        <v>276900000</v>
      </c>
      <c r="D309" s="2"/>
    </row>
  </sheetData>
  <mergeCells count="35">
    <mergeCell ref="A259:D259"/>
    <mergeCell ref="A161:D161"/>
    <mergeCell ref="A162:D162"/>
    <mergeCell ref="A55:D55"/>
    <mergeCell ref="A2:D2"/>
    <mergeCell ref="A3:D3"/>
    <mergeCell ref="A4:D4"/>
    <mergeCell ref="A5:D5"/>
    <mergeCell ref="A6:D6"/>
    <mergeCell ref="A163:D163"/>
    <mergeCell ref="A56:D56"/>
    <mergeCell ref="A57:D57"/>
    <mergeCell ref="A58:D58"/>
    <mergeCell ref="A59:D59"/>
    <mergeCell ref="A108:D108"/>
    <mergeCell ref="A109:D109"/>
    <mergeCell ref="A110:D110"/>
    <mergeCell ref="A111:D111"/>
    <mergeCell ref="A112:D112"/>
    <mergeCell ref="A164:D164"/>
    <mergeCell ref="A165:D165"/>
    <mergeCell ref="A214:D214"/>
    <mergeCell ref="A215:D215"/>
    <mergeCell ref="A216:D216"/>
    <mergeCell ref="A217:D217"/>
    <mergeCell ref="A282:D282"/>
    <mergeCell ref="A283:D283"/>
    <mergeCell ref="A284:D284"/>
    <mergeCell ref="A285:D285"/>
    <mergeCell ref="A286:D286"/>
    <mergeCell ref="A218:D218"/>
    <mergeCell ref="A255:D255"/>
    <mergeCell ref="A256:D256"/>
    <mergeCell ref="A257:D257"/>
    <mergeCell ref="A258:D258"/>
  </mergeCells>
  <pageMargins left="0.70866141732283505" right="0.70866141732283505" top="0.74803149606299202" bottom="0.74803149606299202" header="0.31496062992126" footer="0.31496062992126"/>
  <pageSetup paperSize="5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BDD 2022</vt:lpstr>
      <vt:lpstr>'BDD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2023-04-06T02:23:05Z</dcterms:created>
  <dcterms:modified xsi:type="dcterms:W3CDTF">2023-04-06T02:23:38Z</dcterms:modified>
</cp:coreProperties>
</file>