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>
    <definedName name="_xlnm.Print_Area" localSheetId="0">Sheet1!$A$170:$D$196</definedName>
  </definedNames>
  <calcPr fullCalcOnLoad="1"/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<sst xmlns="http://schemas.openxmlformats.org/spreadsheetml/2006/main" count="189" uniqueCount="44">
  <si>
    <t>Tabel</t>
  </si>
  <si>
    <t>Jumlah Pengunjung dan Pendapatan di Obyek Wisata</t>
  </si>
  <si>
    <t>Tirta Husada Paguyangan Dirinci Per Bulan Tahun 2023</t>
  </si>
  <si>
    <t>Bulan</t>
  </si>
  <si>
    <t>Banyaknya</t>
  </si>
  <si>
    <t>Pendapatan</t>
  </si>
  <si>
    <t>Month</t>
  </si>
  <si>
    <t>Pengunjung</t>
  </si>
  <si>
    <t>Penjualan</t>
  </si>
  <si>
    <t>Lain-lain</t>
  </si>
  <si>
    <t>(Rp)</t>
  </si>
  <si>
    <t>JANUARI</t>
  </si>
  <si>
    <t>FEBRUARI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</si>
  <si>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</si>
  <si>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</si>
  <si>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</si>
  <si>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</si>
  <si>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</si>
  <si>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</si>
  <si>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</si>
  <si>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</si>
  <si>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</si>
  <si>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DESEMBER</t>
  </si>
  <si>
    <t>Cipanas Bantarkawung Dirinci Per Bulan Tahun 2023</t>
  </si>
  <si>
    <t>Pantai Randusanga Indah Dirinci Per Bulan Tahun 2023</t>
  </si>
  <si>
    <t>Waduk malahayu Banjarharjo dirinci Per Bulan Tahun 2023</t>
  </si>
  <si>
    <t>Kaligua Paguyangan Dirinci Per Bulan Tahun 2023</t>
  </si>
  <si>
    <t>Sumber : Dinas Kebudayaan dan Pariwisata Kab. Brebes</t>
  </si>
  <si>
    <t>Mangrove Pandansari Kaliwlingi Per Bulan Tahun 2023</t>
  </si>
  <si>
    <t>The Number of visitor and Revenue in Mangrovesari - Kaliwlingi</t>
  </si>
  <si>
    <t>in Brebes 2023</t>
  </si>
  <si>
    <t>Jumlah/Total</t>
  </si>
  <si>
    <t>Tahun 2022</t>
  </si>
  <si>
    <t>Jumlah  Pendapatan di  Sapras Wisata</t>
  </si>
  <si>
    <t>Hotel / Wisma  Per Bulan Tahun 2023</t>
  </si>
  <si>
    <t>The Number of Revenue in Wisma Kencana - Brebes</t>
  </si>
  <si>
    <t>jumlah</t>
  </si>
  <si>
    <t>kamar terjual</t>
  </si>
  <si>
    <t>TAHUN 2022</t>
  </si>
  <si>
    <t>TAHUN 2021</t>
  </si>
  <si>
    <t>TAHUN 2020</t>
  </si>
  <si>
    <t>TAHUN 2019</t>
  </si>
  <si>
    <t>TAHUN 2018</t>
  </si>
  <si>
    <t>TAHUN 2017</t>
  </si>
</sst>
</file>

<file path=xl/styles.xml><?xml version="1.0" encoding="utf-8"?>
<styleSheet xmlns="http://schemas.openxmlformats.org/spreadsheetml/2006/main">
  <numFmts count="5">
    <numFmt numFmtId="177" formatCode="_(* #,##0_);_(* \(#,##0\);_(* &quot;-&quot;_);_(@_)"/>
    <numFmt numFmtId="178" formatCode="_(* #,##0.00_);_(* \(#,##0.00\);_(* &quot;-&quot;??_);_(@_)"/>
    <numFmt numFmtId="179" formatCode="_([$Rp-421]* #,##0_);_([$Rp-421]* \(#,##0\);_([$Rp-421]* &quot;-&quot;??_);_(@_)"/>
    <numFmt numFmtId="180" formatCode="_(&quot;$&quot;* #,##0.00_);_(&quot;$&quot;* \(#,##0.00\);_(&quot;$&quot;* &quot;-&quot;??_);_(@_)"/>
    <numFmt numFmtId="181" formatCode="_(* #,##0_);_(* \(#,##0\);_(* &quot;-&quot;??_);_(@_)"/>
  </numFmts>
  <fonts count="4">
    <font>
      <sz val="10"/>
      <color theme="1"/>
      <name val="Arial"/>
      <family val="2"/>
    </font>
    <font>
      <sz val="12"/>
      <color theme="1"/>
      <name val="Cambria"/>
      <family val="1"/>
      <scheme val="major"/>
    </font>
    <font>
      <sz val="11"/>
      <color theme="1"/>
      <name val="Calibri"/>
      <family val="2"/>
      <charset val="1"/>
      <scheme val="minor"/>
    </font>
    <font>
      <b/>
      <sz val="12"/>
      <color theme="1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3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80" fontId="2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" fontId="1" fillId="0" borderId="1" xfId="0" applyNumberFormat="1" applyFont="1" applyBorder="1" applyAlignment="1">
      <alignment horizontal="left"/>
    </xf>
    <xf numFmtId="177" fontId="1" fillId="0" borderId="1" xfId="20" applyFont="1" applyBorder="1" applyAlignment="1">
      <alignment horizontal="left"/>
    </xf>
    <xf numFmtId="179" fontId="1" fillId="0" borderId="1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181" fontId="1" fillId="0" borderId="1" xfId="21" applyNumberFormat="1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177" fontId="1" fillId="0" borderId="0" xfId="0" applyNumberFormat="1" applyFont="1"/>
    <xf numFmtId="177" fontId="1" fillId="0" borderId="1" xfId="20" applyFont="1" applyBorder="1" applyAlignment="1">
      <alignment horizontal="left" indent="1"/>
    </xf>
    <xf numFmtId="179" fontId="1" fillId="0" borderId="1" xfId="0" applyNumberFormat="1" applyFont="1" applyBorder="1" applyAlignment="1">
      <alignment horizontal="left" indent="1"/>
    </xf>
    <xf numFmtId="0" fontId="1" fillId="0" borderId="0" xfId="0" applyFont="1"/>
    <xf numFmtId="179" fontId="1" fillId="0" borderId="0" xfId="0" applyNumberFormat="1" applyFont="1"/>
    <xf numFmtId="179" fontId="1" fillId="0" borderId="1" xfId="22" applyNumberFormat="1" applyFont="1" applyBorder="1" applyAlignment="1">
      <alignment horizontal="left" indent="1"/>
    </xf>
    <xf numFmtId="16" fontId="1" fillId="0" borderId="1" xfId="0" applyNumberFormat="1" applyFont="1" applyBorder="1" applyAlignment="1">
      <alignment horizontal="left" indent="1"/>
    </xf>
    <xf numFmtId="0" fontId="1" fillId="0" borderId="1" xfId="0" applyFont="1" applyBorder="1" applyAlignment="1">
      <alignment horizontal="left" indent="1"/>
    </xf>
    <xf numFmtId="0" fontId="1" fillId="0" borderId="0" xfId="0" applyFont="1" applyAlignment="1">
      <alignment horizontal="left" indent="1"/>
    </xf>
    <xf numFmtId="179" fontId="1" fillId="0" borderId="1" xfId="20" applyNumberFormat="1" applyFont="1" applyBorder="1" applyAlignment="1">
      <alignment horizontal="left"/>
    </xf>
    <xf numFmtId="178" fontId="1" fillId="0" borderId="1" xfId="21" applyFont="1" applyBorder="1" applyAlignment="1">
      <alignment horizontal="left"/>
    </xf>
    <xf numFmtId="177" fontId="1" fillId="0" borderId="1" xfId="0" applyNumberFormat="1" applyFont="1" applyBorder="1" applyAlignment="1">
      <alignment horizontal="left" indent="1"/>
    </xf>
  </cellXfs>
  <cellStyles count="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Koma [0]" xfId="20"/>
    <cellStyle name="Koma" xfId="21"/>
    <cellStyle name="Mata Uang" xfId="22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e6a3e22-e4fe-46c5-a910-392b22bc30ae}">
  <dimension ref="A1:F257"/>
  <sheetViews>
    <sheetView zoomScale="78" zoomScaleNormal="78" workbookViewId="0" topLeftCell="A1">
      <selection pane="topLeft" activeCell="B252" sqref="B252"/>
    </sheetView>
  </sheetViews>
  <sheetFormatPr defaultColWidth="9.18428571428571" defaultRowHeight="15" customHeight="1"/>
  <cols>
    <col min="1" max="1" width="18" style="16" customWidth="1"/>
    <col min="2" max="2" width="21.1428571428571" style="16" customWidth="1"/>
    <col min="3" max="3" width="22.5714285714286" style="16" customWidth="1"/>
    <col min="4" max="4" width="22" style="16" customWidth="1"/>
    <col min="5" max="5" width="9.14285714285714" style="16"/>
    <col min="6" max="6" width="20.5714285714286" style="16" customWidth="1"/>
    <col min="7" max="16384" width="9.14285714285714" style="16"/>
  </cols>
  <sheetData>
    <row r="1" spans="1:4" ht="15">
      <c r="A1" s="2"/>
      <c r="B1" s="2"/>
      <c r="C1" s="2"/>
      <c r="D1" s="2"/>
    </row>
    <row r="2" spans="1:4" ht="15">
      <c r="A2" s="3" t="s">
        <v>0</v>
      </c>
      <c r="B2" s="3"/>
      <c r="C2" s="3"/>
      <c r="D2" s="3"/>
    </row>
    <row r="3" spans="1:4" ht="15">
      <c r="A3" s="4" t="s">
        <v>1</v>
      </c>
      <c r="B3" s="4"/>
      <c r="C3" s="4"/>
      <c r="D3" s="4"/>
    </row>
    <row r="4" spans="1:4" ht="15">
      <c r="A4" s="4" t="s">
        <v>2</v>
      </c>
      <c r="B4" s="4"/>
      <c r="C4" s="4"/>
      <c r="D4" s="4"/>
    </row>
    <row r="5" spans="1:4" ht="15">
      <c r="A5" s="2"/>
      <c r="B5" s="2"/>
      <c r="C5" s="2"/>
      <c r="D5" s="2"/>
    </row>
    <row r="6" spans="1:4" ht="15.75" customHeight="1">
      <c r="A6" s="5" t="s">
        <v>3</v>
      </c>
      <c r="B6" s="5" t="s">
        <v>4</v>
      </c>
      <c r="C6" s="5" t="s">
        <v>5</v>
      </c>
      <c r="D6" s="5" t="s">
        <v>5</v>
      </c>
    </row>
    <row r="7" spans="1:4" ht="15">
      <c r="A7" s="5" t="s">
        <v>6</v>
      </c>
      <c r="B7" s="5" t="s">
        <v>7</v>
      </c>
      <c r="C7" s="5" t="s">
        <v>8</v>
      </c>
      <c r="D7" s="5" t="s">
        <v>9</v>
      </c>
    </row>
    <row r="8" spans="1:4" s="3" customFormat="1" ht="15">
      <c r="A8" s="6"/>
      <c r="B8" s="6"/>
      <c r="C8" s="6" t="s">
        <v>10</v>
      </c>
      <c r="D8" s="6" t="s">
        <v>10</v>
      </c>
    </row>
    <row r="9" spans="1:4" s="3" customFormat="1" ht="15">
      <c r="A9" s="6">
        <v>1</v>
      </c>
      <c r="B9" s="6">
        <v>2</v>
      </c>
      <c r="C9" s="6">
        <v>3</v>
      </c>
      <c r="D9" s="6">
        <v>4</v>
      </c>
    </row>
    <row r="10" spans="1:4" ht="15">
      <c r="A10" s="7" t="s">
        <v>11</v>
      </c>
      <c r="B10" s="8">
        <f>2383+341</f>
        <v>2724</v>
      </c>
      <c r="C10" s="9">
        <v>17704000</v>
      </c>
      <c r="D10" s="9"/>
    </row>
    <row r="11" spans="1:4" ht="15">
      <c r="A11" s="10" t="s">
        <v>12</v>
      </c>
      <c r="B11" s="8">
        <f>1235+200</f>
        <v>1435</v>
      </c>
      <c r="C11" s="9">
        <v>9245000</v>
      </c>
      <c r="D11" s="9"/>
    </row>
    <row r="12" spans="1:4" ht="15">
      <c r="A12" s="10" t="s">
        <v>13</v>
      </c>
      <c r="B12" s="8">
        <f>812+122</f>
        <v>934</v>
      </c>
      <c r="C12" s="9">
        <v>6050000</v>
      </c>
      <c r="D12" s="9"/>
    </row>
    <row r="13" spans="1:4" ht="15">
      <c r="A13" s="10" t="s">
        <v>14</v>
      </c>
      <c r="B13" s="8">
        <f>2735+264</f>
        <v>2999</v>
      </c>
      <c r="C13" s="9">
        <v>19937000</v>
      </c>
      <c r="D13" s="9"/>
    </row>
    <row r="14" spans="1:4" ht="15">
      <c r="A14" s="10" t="s">
        <v>15</v>
      </c>
      <c r="B14" s="8">
        <f>2095+357</f>
        <v>2452</v>
      </c>
      <c r="C14" s="9">
        <f>29236000-D14</f>
        <v>15736000</v>
      </c>
      <c r="D14" s="9">
        <v>13500000</v>
      </c>
    </row>
    <row r="15" spans="1:4" ht="15">
      <c r="A15" s="10" t="s">
        <v>16</v>
      </c>
      <c r="B15" s="8">
        <f>1480+269</f>
        <v>1749</v>
      </c>
      <c r="C15" s="9">
        <v>11167000</v>
      </c>
      <c r="D15" s="9"/>
    </row>
    <row r="16" spans="1:4" ht="15">
      <c r="A16" s="10" t="s">
        <v>17</v>
      </c>
      <c r="B16" s="8">
        <f>1574+331</f>
        <v>1905</v>
      </c>
      <c r="C16" s="9">
        <v>12011000</v>
      </c>
      <c r="D16" s="9"/>
    </row>
    <row r="17" spans="1:4" ht="15">
      <c r="A17" s="10" t="s">
        <v>18</v>
      </c>
      <c r="B17" s="8">
        <f>750+201</f>
        <v>951</v>
      </c>
      <c r="C17" s="9">
        <v>5853000</v>
      </c>
      <c r="D17" s="9"/>
    </row>
    <row r="18" spans="1:4" ht="15">
      <c r="A18" s="10" t="s">
        <v>19</v>
      </c>
      <c r="B18" s="11">
        <f>715+177</f>
        <v>892</v>
      </c>
      <c r="C18" s="9">
        <v>5536000</v>
      </c>
      <c r="D18" s="9"/>
    </row>
    <row r="19" spans="1:4" ht="15">
      <c r="A19" s="10" t="s">
        <v>20</v>
      </c>
      <c r="B19" s="11">
        <f>802+231</f>
        <v>1033</v>
      </c>
      <c r="C19" s="9">
        <v>6307000</v>
      </c>
      <c r="D19" s="9"/>
    </row>
    <row r="20" spans="1:4" ht="15">
      <c r="A20" s="10" t="s">
        <v>21</v>
      </c>
      <c r="B20" s="11">
        <f>760+213</f>
        <v>973</v>
      </c>
      <c r="C20" s="9">
        <v>5959000</v>
      </c>
      <c r="D20" s="9"/>
    </row>
    <row r="21" spans="1:4" ht="15">
      <c r="A21" s="10" t="s">
        <v>22</v>
      </c>
      <c r="B21" s="11">
        <f>1505+382</f>
        <v>1887</v>
      </c>
      <c r="C21" s="9">
        <v>11681000</v>
      </c>
      <c r="D21" s="9"/>
    </row>
    <row r="22" spans="1:6" ht="15.75" customHeight="1">
      <c r="A22" s="12">
        <v>2023</v>
      </c>
      <c r="B22" s="8">
        <f>SUM(B10:B21)</f>
        <v>19934</v>
      </c>
      <c r="C22" s="8">
        <f>SUM(C10:C21)</f>
        <v>127186000</v>
      </c>
      <c r="D22" s="8">
        <f>SUM(D10:D21)</f>
        <v>13500000</v>
      </c>
      <c r="F22" s="13"/>
    </row>
    <row r="23" spans="1:4" ht="17.25" customHeight="1">
      <c r="A23" s="12">
        <f>A22-1</f>
        <v>2022</v>
      </c>
      <c r="B23" s="8">
        <v>21900</v>
      </c>
      <c r="C23" s="9">
        <v>172900000</v>
      </c>
      <c r="D23" s="9">
        <v>13970000</v>
      </c>
    </row>
    <row r="24" spans="1:4" ht="15">
      <c r="A24" s="12">
        <f>A23-1</f>
        <v>2021</v>
      </c>
      <c r="B24" s="8">
        <v>10100</v>
      </c>
      <c r="C24" s="9">
        <v>54875000</v>
      </c>
      <c r="D24" s="9">
        <v>5815000</v>
      </c>
    </row>
    <row r="25" spans="1:4" ht="15">
      <c r="A25" s="12">
        <f>A24-1</f>
        <v>2020</v>
      </c>
      <c r="B25" s="14">
        <v>6915</v>
      </c>
      <c r="C25" s="15">
        <v>27155000</v>
      </c>
      <c r="D25" s="15">
        <v>9540000</v>
      </c>
    </row>
    <row r="26" spans="1:4" ht="15">
      <c r="A26" s="12">
        <f>A25-1</f>
        <v>2019</v>
      </c>
      <c r="B26" s="14">
        <v>46575</v>
      </c>
      <c r="C26" s="15">
        <v>189075000</v>
      </c>
      <c r="D26" s="15">
        <v>22090000</v>
      </c>
    </row>
    <row r="27" spans="1:4" ht="15">
      <c r="A27" s="2"/>
      <c r="B27" s="2"/>
      <c r="C27" s="2"/>
      <c r="D27" s="2"/>
    </row>
    <row r="28" spans="1:4" ht="15">
      <c r="A28" s="2"/>
      <c r="B28" s="2"/>
      <c r="C28" s="2"/>
      <c r="D28" s="2"/>
    </row>
    <row r="29" spans="1:4" ht="15">
      <c r="A29" s="2"/>
      <c r="B29" s="2"/>
      <c r="C29" s="2"/>
      <c r="D29" s="2"/>
    </row>
    <row r="30" spans="1:4" ht="15">
      <c r="A30" s="2"/>
      <c r="B30" s="2"/>
      <c r="C30" s="2"/>
      <c r="D30" s="2"/>
    </row>
    <row r="31" spans="1:4" ht="15">
      <c r="A31" s="2"/>
      <c r="B31" s="2"/>
      <c r="C31" s="2"/>
      <c r="D31" s="2"/>
    </row>
    <row r="32" spans="1:4" ht="15">
      <c r="A32" s="2"/>
      <c r="B32" s="2"/>
      <c r="C32" s="2"/>
      <c r="D32" s="2"/>
    </row>
    <row r="33" spans="1:4" ht="15">
      <c r="A33" s="2"/>
      <c r="B33" s="2"/>
      <c r="C33" s="2"/>
      <c r="D33" s="2"/>
    </row>
    <row r="34" spans="1:4" ht="15">
      <c r="A34" s="2"/>
      <c r="B34" s="2"/>
      <c r="C34" s="2"/>
      <c r="D34" s="2"/>
    </row>
    <row r="35" spans="1:4" ht="15">
      <c r="A35" s="2"/>
      <c r="B35" s="2"/>
      <c r="C35" s="2"/>
      <c r="D35" s="2"/>
    </row>
    <row r="36" spans="1:4" ht="15">
      <c r="A36" s="2"/>
      <c r="B36" s="2"/>
      <c r="C36" s="2"/>
      <c r="D36" s="2"/>
    </row>
    <row r="37" spans="1:4" ht="15">
      <c r="A37" s="2"/>
      <c r="B37" s="2"/>
      <c r="C37" s="2"/>
      <c r="D37" s="2"/>
    </row>
    <row r="38" spans="1:4" ht="15">
      <c r="A38" s="2"/>
      <c r="B38" s="2"/>
      <c r="C38" s="2"/>
      <c r="D38" s="2"/>
    </row>
    <row r="39" spans="1:4" ht="15">
      <c r="A39" s="2"/>
      <c r="B39" s="2"/>
      <c r="C39" s="2"/>
      <c r="D39" s="2"/>
    </row>
    <row r="40" spans="1:4" ht="15">
      <c r="A40" s="2"/>
      <c r="B40" s="2"/>
      <c r="C40" s="2"/>
      <c r="D40" s="2"/>
    </row>
    <row r="41" spans="1:4" ht="15">
      <c r="A41" s="3" t="s">
        <v>0</v>
      </c>
      <c r="B41" s="3"/>
      <c r="C41" s="3"/>
      <c r="D41" s="3"/>
    </row>
    <row r="42" spans="1:4" ht="15">
      <c r="A42" s="4" t="s">
        <v>1</v>
      </c>
      <c r="B42" s="4"/>
      <c r="C42" s="4"/>
      <c r="D42" s="4"/>
    </row>
    <row r="43" spans="1:4" ht="15">
      <c r="A43" s="4" t="s">
        <v>23</v>
      </c>
      <c r="B43" s="4"/>
      <c r="C43" s="4"/>
      <c r="D43" s="4"/>
    </row>
    <row r="44" spans="1:4" ht="15">
      <c r="A44" s="2"/>
      <c r="B44" s="2"/>
      <c r="C44" s="2"/>
      <c r="D44" s="2"/>
    </row>
    <row r="45" spans="1:4" ht="15">
      <c r="A45" s="5" t="s">
        <v>3</v>
      </c>
      <c r="B45" s="5" t="s">
        <v>4</v>
      </c>
      <c r="C45" s="5" t="s">
        <v>5</v>
      </c>
      <c r="D45" s="5" t="s">
        <v>5</v>
      </c>
    </row>
    <row r="46" spans="1:4" ht="15">
      <c r="A46" s="5" t="s">
        <v>6</v>
      </c>
      <c r="B46" s="5" t="s">
        <v>7</v>
      </c>
      <c r="C46" s="5" t="s">
        <v>8</v>
      </c>
      <c r="D46" s="5" t="s">
        <v>9</v>
      </c>
    </row>
    <row r="47" spans="1:5" ht="15">
      <c r="A47" s="6"/>
      <c r="B47" s="6"/>
      <c r="C47" s="6" t="s">
        <v>10</v>
      </c>
      <c r="D47" s="6" t="s">
        <v>10</v>
      </c>
      <c r="E47" s="3"/>
    </row>
    <row r="48" spans="1:5" ht="15">
      <c r="A48" s="6">
        <v>1</v>
      </c>
      <c r="B48" s="6">
        <v>2</v>
      </c>
      <c r="C48" s="6">
        <v>3</v>
      </c>
      <c r="D48" s="6">
        <v>4</v>
      </c>
      <c r="E48" s="3"/>
    </row>
    <row r="49" spans="1:4" ht="15.75" customHeight="1">
      <c r="A49" s="7" t="s">
        <v>11</v>
      </c>
      <c r="B49" s="8">
        <f>2000+360+70+280</f>
        <v>2710</v>
      </c>
      <c r="C49" s="9">
        <f>16140000-300000</f>
        <v>15840000</v>
      </c>
      <c r="D49" s="9">
        <v>300000</v>
      </c>
    </row>
    <row r="50" spans="1:4" ht="15">
      <c r="A50" s="10" t="s">
        <v>12</v>
      </c>
      <c r="B50" s="8">
        <f>1020+275+45+190</f>
        <v>1530</v>
      </c>
      <c r="C50" s="9">
        <f>8640000-200000</f>
        <v>8440000</v>
      </c>
      <c r="D50" s="9">
        <v>200000</v>
      </c>
    </row>
    <row r="51" spans="1:5" s="3" customFormat="1" ht="15">
      <c r="A51" s="10" t="s">
        <v>13</v>
      </c>
      <c r="B51" s="8">
        <f>3080+280+50+190</f>
        <v>3600</v>
      </c>
      <c r="C51" s="9">
        <v>8890000</v>
      </c>
      <c r="D51" s="9"/>
      <c r="E51" s="16"/>
    </row>
    <row r="52" spans="1:5" s="3" customFormat="1" ht="15">
      <c r="A52" s="10" t="s">
        <v>14</v>
      </c>
      <c r="B52" s="8">
        <f>2300+520+80+260</f>
        <v>3160</v>
      </c>
      <c r="C52" s="9">
        <v>18240000</v>
      </c>
      <c r="D52" s="9"/>
      <c r="E52" s="16"/>
    </row>
    <row r="53" spans="1:6" ht="15">
      <c r="A53" s="10" t="s">
        <v>15</v>
      </c>
      <c r="B53" s="8">
        <f>1810+400+80+300</f>
        <v>2590</v>
      </c>
      <c r="C53" s="9">
        <v>14690000</v>
      </c>
      <c r="D53" s="9"/>
      <c r="F53" s="17"/>
    </row>
    <row r="54" spans="1:6" ht="15">
      <c r="A54" s="10" t="s">
        <v>16</v>
      </c>
      <c r="B54" s="8">
        <f>1090+300+50+190</f>
        <v>1630</v>
      </c>
      <c r="C54" s="9">
        <f>10500000-D54</f>
        <v>9000000</v>
      </c>
      <c r="D54" s="9">
        <v>1500000</v>
      </c>
      <c r="F54" s="17"/>
    </row>
    <row r="55" spans="1:6" ht="15">
      <c r="A55" s="10" t="s">
        <v>17</v>
      </c>
      <c r="B55" s="8">
        <f>1800+400+90+260</f>
        <v>2550</v>
      </c>
      <c r="C55" s="9">
        <f>15040000-D55</f>
        <v>14540000</v>
      </c>
      <c r="D55" s="9">
        <v>500000</v>
      </c>
      <c r="F55" s="17"/>
    </row>
    <row r="56" spans="1:6" ht="15">
      <c r="A56" s="10" t="s">
        <v>18</v>
      </c>
      <c r="B56" s="8">
        <f>900+285+45+180</f>
        <v>1410</v>
      </c>
      <c r="C56" s="9">
        <v>7590000</v>
      </c>
      <c r="D56" s="9"/>
      <c r="F56" s="17"/>
    </row>
    <row r="57" spans="1:6" ht="15">
      <c r="A57" s="10" t="s">
        <v>19</v>
      </c>
      <c r="B57" s="8">
        <f>850+300+40+190</f>
        <v>1380</v>
      </c>
      <c r="C57" s="9">
        <v>7380000</v>
      </c>
      <c r="D57" s="9">
        <v>100000</v>
      </c>
      <c r="F57" s="17"/>
    </row>
    <row r="58" spans="1:6" ht="15">
      <c r="A58" s="10" t="s">
        <v>20</v>
      </c>
      <c r="B58" s="8">
        <f>780+260+50+210</f>
        <v>1300</v>
      </c>
      <c r="C58" s="9">
        <f>7310000-D58</f>
        <v>6810000</v>
      </c>
      <c r="D58" s="9">
        <v>500000</v>
      </c>
      <c r="F58" s="17"/>
    </row>
    <row r="59" spans="1:6" ht="15">
      <c r="A59" s="10" t="s">
        <v>21</v>
      </c>
      <c r="B59" s="8">
        <f>770+255+45+195</f>
        <v>1265</v>
      </c>
      <c r="C59" s="9">
        <f>7165000-D59</f>
        <v>6665000</v>
      </c>
      <c r="D59" s="9">
        <v>500000</v>
      </c>
      <c r="F59" s="17"/>
    </row>
    <row r="60" spans="1:6" ht="15">
      <c r="A60" s="10" t="s">
        <v>22</v>
      </c>
      <c r="B60" s="8">
        <f>1400+350+60+220</f>
        <v>2030</v>
      </c>
      <c r="C60" s="9">
        <f>11900000-D60</f>
        <v>11400000</v>
      </c>
      <c r="D60" s="9">
        <v>500000</v>
      </c>
      <c r="F60" s="17"/>
    </row>
    <row r="61" spans="1:6" ht="15.75" customHeight="1">
      <c r="A61" s="12">
        <v>2023</v>
      </c>
      <c r="B61" s="8">
        <f>SUM(B49:B60)</f>
        <v>25155</v>
      </c>
      <c r="C61" s="8">
        <f>SUM(C49:C60)</f>
        <v>129485000</v>
      </c>
      <c r="D61" s="8">
        <f>SUM(D49:D60)</f>
        <v>4100000</v>
      </c>
      <c r="F61" s="13"/>
    </row>
    <row r="62" spans="1:4" ht="17.25" customHeight="1">
      <c r="A62" s="12">
        <f>A61-1</f>
        <v>2022</v>
      </c>
      <c r="B62" s="8">
        <v>33700</v>
      </c>
      <c r="C62" s="9">
        <v>153300000</v>
      </c>
      <c r="D62" s="9">
        <v>27580000</v>
      </c>
    </row>
    <row r="63" spans="1:4" ht="15">
      <c r="A63" s="12">
        <f>A62-1</f>
        <v>2021</v>
      </c>
      <c r="B63" s="8">
        <v>6890</v>
      </c>
      <c r="C63" s="9">
        <v>38525000</v>
      </c>
      <c r="D63" s="9">
        <v>4785000</v>
      </c>
    </row>
    <row r="64" spans="1:4" ht="15">
      <c r="A64" s="12">
        <f>A63-1</f>
        <v>2020</v>
      </c>
      <c r="B64" s="14">
        <v>8010</v>
      </c>
      <c r="C64" s="15">
        <v>33260000</v>
      </c>
      <c r="D64" s="15">
        <v>6890000</v>
      </c>
    </row>
    <row r="65" spans="1:4" ht="15">
      <c r="A65" s="12">
        <v>2019</v>
      </c>
      <c r="B65" s="14">
        <v>33620</v>
      </c>
      <c r="C65" s="15">
        <v>138200000</v>
      </c>
      <c r="D65" s="15">
        <v>22850000</v>
      </c>
    </row>
    <row r="66" spans="1:4" ht="15">
      <c r="A66" s="2"/>
      <c r="B66" s="2"/>
      <c r="C66" s="2"/>
      <c r="D66" s="2"/>
    </row>
    <row r="67" spans="1:4" ht="15">
      <c r="A67" s="2"/>
      <c r="B67" s="2"/>
      <c r="C67" s="2"/>
      <c r="D67" s="2"/>
    </row>
    <row r="68" spans="1:4" ht="15">
      <c r="A68" s="2"/>
      <c r="B68" s="2"/>
      <c r="C68" s="2"/>
      <c r="D68" s="2"/>
    </row>
    <row r="69" spans="1:4" ht="15">
      <c r="A69" s="2"/>
      <c r="B69" s="2"/>
      <c r="C69" s="2"/>
      <c r="D69" s="2"/>
    </row>
    <row r="70" spans="1:4" ht="15">
      <c r="A70" s="2"/>
      <c r="B70" s="2"/>
      <c r="C70" s="2"/>
      <c r="D70" s="2"/>
    </row>
    <row r="71" spans="1:4" ht="15">
      <c r="A71" s="2"/>
      <c r="B71" s="2"/>
      <c r="C71" s="2"/>
      <c r="D71" s="2"/>
    </row>
    <row r="72" spans="1:4" ht="15">
      <c r="A72" s="2"/>
      <c r="B72" s="2"/>
      <c r="C72" s="2"/>
      <c r="D72" s="2"/>
    </row>
    <row r="73" spans="1:4" ht="15">
      <c r="A73" s="2"/>
      <c r="B73" s="2"/>
      <c r="C73" s="2"/>
      <c r="D73" s="2"/>
    </row>
    <row r="74" spans="1:4" ht="15">
      <c r="A74" s="2"/>
      <c r="B74" s="2"/>
      <c r="C74" s="2"/>
      <c r="D74" s="2"/>
    </row>
    <row r="75" spans="1:4" ht="15">
      <c r="A75" s="2"/>
      <c r="B75" s="2"/>
      <c r="C75" s="2"/>
      <c r="D75" s="2"/>
    </row>
    <row r="76" spans="1:4" ht="15">
      <c r="A76" s="2"/>
      <c r="B76" s="2"/>
      <c r="C76" s="2"/>
      <c r="D76" s="2"/>
    </row>
    <row r="77" spans="1:4" ht="15">
      <c r="A77" s="2"/>
      <c r="B77" s="2"/>
      <c r="C77" s="2"/>
      <c r="D77" s="2"/>
    </row>
    <row r="78" spans="1:4" ht="15">
      <c r="A78" s="2"/>
      <c r="B78" s="2"/>
      <c r="C78" s="2"/>
      <c r="D78" s="2"/>
    </row>
    <row r="79" spans="1:4" ht="15">
      <c r="A79" s="2"/>
      <c r="B79" s="2"/>
      <c r="C79" s="2"/>
      <c r="D79" s="2"/>
    </row>
    <row r="80" spans="1:4" ht="15">
      <c r="A80" s="2"/>
      <c r="B80" s="2"/>
      <c r="C80" s="2"/>
      <c r="D80" s="2"/>
    </row>
    <row r="81" spans="1:4" ht="15">
      <c r="A81" s="2"/>
      <c r="B81" s="2"/>
      <c r="C81" s="2"/>
      <c r="D81" s="2"/>
    </row>
    <row r="82" spans="1:4" ht="15">
      <c r="A82" s="2"/>
      <c r="B82" s="2"/>
      <c r="C82" s="2"/>
      <c r="D82" s="2"/>
    </row>
    <row r="83" spans="1:4" ht="15">
      <c r="A83" s="2"/>
      <c r="B83" s="2"/>
      <c r="C83" s="2"/>
      <c r="D83" s="2"/>
    </row>
    <row r="84" spans="1:4" ht="15">
      <c r="A84" s="3" t="s">
        <v>0</v>
      </c>
      <c r="B84" s="3"/>
      <c r="C84" s="3"/>
      <c r="D84" s="3"/>
    </row>
    <row r="85" spans="1:4" ht="15">
      <c r="A85" s="4" t="s">
        <v>1</v>
      </c>
      <c r="B85" s="4"/>
      <c r="C85" s="4"/>
      <c r="D85" s="4"/>
    </row>
    <row r="86" spans="1:4" ht="15">
      <c r="A86" s="4" t="s">
        <v>24</v>
      </c>
      <c r="B86" s="4"/>
      <c r="C86" s="4"/>
      <c r="D86" s="4"/>
    </row>
    <row r="87" spans="1:4" ht="15">
      <c r="A87" s="2"/>
      <c r="B87" s="2"/>
      <c r="C87" s="2"/>
      <c r="D87" s="2"/>
    </row>
    <row r="88" spans="1:4" ht="15">
      <c r="A88" s="5" t="s">
        <v>3</v>
      </c>
      <c r="B88" s="5" t="s">
        <v>4</v>
      </c>
      <c r="C88" s="5" t="s">
        <v>5</v>
      </c>
      <c r="D88" s="5" t="s">
        <v>5</v>
      </c>
    </row>
    <row r="89" spans="1:4" ht="15">
      <c r="A89" s="5" t="s">
        <v>6</v>
      </c>
      <c r="B89" s="5" t="s">
        <v>7</v>
      </c>
      <c r="C89" s="5" t="s">
        <v>8</v>
      </c>
      <c r="D89" s="5" t="s">
        <v>9</v>
      </c>
    </row>
    <row r="90" spans="1:5" ht="15">
      <c r="A90" s="6"/>
      <c r="B90" s="6"/>
      <c r="C90" s="6" t="s">
        <v>10</v>
      </c>
      <c r="D90" s="6" t="s">
        <v>10</v>
      </c>
      <c r="E90" s="3"/>
    </row>
    <row r="91" spans="1:5" ht="15">
      <c r="A91" s="6">
        <v>1</v>
      </c>
      <c r="B91" s="6">
        <v>2</v>
      </c>
      <c r="C91" s="6">
        <v>3</v>
      </c>
      <c r="D91" s="6">
        <v>4</v>
      </c>
      <c r="E91" s="3"/>
    </row>
    <row r="92" spans="1:4" ht="15.75" customHeight="1">
      <c r="A92" s="7" t="s">
        <v>11</v>
      </c>
      <c r="B92" s="14">
        <f>2486+815</f>
        <v>3301</v>
      </c>
      <c r="C92" s="18">
        <f>20584000-D92</f>
        <v>17402000</v>
      </c>
      <c r="D92" s="18">
        <f>420000+2612000+150000</f>
        <v>3182000</v>
      </c>
    </row>
    <row r="93" spans="1:4" ht="15">
      <c r="A93" s="10" t="s">
        <v>12</v>
      </c>
      <c r="B93" s="14">
        <f>2496+800</f>
        <v>3296</v>
      </c>
      <c r="C93" s="18">
        <f>20490000-D93</f>
        <v>17427000</v>
      </c>
      <c r="D93" s="18">
        <f>380000+2683000</f>
        <v>3063000</v>
      </c>
    </row>
    <row r="94" spans="1:5" s="3" customFormat="1" ht="15">
      <c r="A94" s="10" t="s">
        <v>13</v>
      </c>
      <c r="B94" s="14">
        <f>2675+950</f>
        <v>3625</v>
      </c>
      <c r="C94" s="18">
        <f>21982000-D94</f>
        <v>18725000</v>
      </c>
      <c r="D94" s="15">
        <f>305000+2952000</f>
        <v>3257000</v>
      </c>
      <c r="E94" s="16"/>
    </row>
    <row r="95" spans="1:5" s="3" customFormat="1" ht="15">
      <c r="A95" s="10" t="s">
        <v>14</v>
      </c>
      <c r="B95" s="14">
        <f>12369+14200</f>
        <v>26569</v>
      </c>
      <c r="C95" s="18">
        <f>100219000-D95</f>
        <v>86583000</v>
      </c>
      <c r="D95" s="15">
        <f>190000+13446000</f>
        <v>13636000</v>
      </c>
      <c r="E95" s="16"/>
    </row>
    <row r="96" spans="1:4" ht="15">
      <c r="A96" s="10" t="s">
        <v>15</v>
      </c>
      <c r="B96" s="14">
        <f>7535+5500</f>
        <v>13035</v>
      </c>
      <c r="C96" s="18">
        <f>61932000-D96</f>
        <v>52745000</v>
      </c>
      <c r="D96" s="15">
        <f>1089000+8098000</f>
        <v>9187000</v>
      </c>
    </row>
    <row r="97" spans="1:4" ht="15">
      <c r="A97" s="10" t="s">
        <v>16</v>
      </c>
      <c r="B97" s="14">
        <f>3714+1100</f>
        <v>4814</v>
      </c>
      <c r="C97" s="18">
        <f>30458000-D97</f>
        <v>25998000</v>
      </c>
      <c r="D97" s="15">
        <f>604000+3856000</f>
        <v>4460000</v>
      </c>
    </row>
    <row r="98" spans="1:4" ht="15">
      <c r="A98" s="10" t="s">
        <v>17</v>
      </c>
      <c r="B98" s="14">
        <f>5057+2050</f>
        <v>7107</v>
      </c>
      <c r="C98" s="18">
        <f>41565000-D98</f>
        <v>35399000</v>
      </c>
      <c r="D98" s="15">
        <f>742000+5424000</f>
        <v>6166000</v>
      </c>
    </row>
    <row r="99" spans="1:4" ht="15">
      <c r="A99" s="10" t="s">
        <v>18</v>
      </c>
      <c r="B99" s="14">
        <f>2644+800</f>
        <v>3444</v>
      </c>
      <c r="C99" s="18">
        <f>21944000-D99</f>
        <v>18508000</v>
      </c>
      <c r="D99" s="15">
        <f>560000+2876000</f>
        <v>3436000</v>
      </c>
    </row>
    <row r="100" spans="1:4" ht="15">
      <c r="A100" s="10" t="s">
        <v>19</v>
      </c>
      <c r="B100" s="14">
        <f>3962+1250</f>
        <v>5212</v>
      </c>
      <c r="C100" s="18">
        <f>32842000-D100</f>
        <v>27734000</v>
      </c>
      <c r="D100" s="15">
        <f>840000+4268000</f>
        <v>5108000</v>
      </c>
    </row>
    <row r="101" spans="1:4" ht="15">
      <c r="A101" s="10" t="s">
        <v>20</v>
      </c>
      <c r="B101" s="14">
        <f>3871+1200</f>
        <v>5071</v>
      </c>
      <c r="C101" s="18">
        <f>32475000-D101</f>
        <v>27097000</v>
      </c>
      <c r="D101" s="15">
        <f>1050000+4328000</f>
        <v>5378000</v>
      </c>
    </row>
    <row r="102" spans="1:4" ht="15">
      <c r="A102" s="10" t="s">
        <v>21</v>
      </c>
      <c r="B102" s="14">
        <f>3738+1350</f>
        <v>5088</v>
      </c>
      <c r="C102" s="18">
        <f>31184000-D102</f>
        <v>26166000</v>
      </c>
      <c r="D102" s="15">
        <f>1130000+3888000</f>
        <v>5018000</v>
      </c>
    </row>
    <row r="103" spans="1:4" ht="15">
      <c r="A103" s="10" t="s">
        <v>22</v>
      </c>
      <c r="B103" s="14">
        <f>6447+5020</f>
        <v>11467</v>
      </c>
      <c r="C103" s="18">
        <f>53595000-D103</f>
        <v>46409000</v>
      </c>
      <c r="D103" s="15">
        <f>350000+6836000</f>
        <v>7186000</v>
      </c>
    </row>
    <row r="104" spans="1:6" ht="15.75" customHeight="1">
      <c r="A104" s="12">
        <v>2023</v>
      </c>
      <c r="B104" s="8">
        <f>SUM(B92:B103)</f>
        <v>92029</v>
      </c>
      <c r="C104" s="8">
        <f>SUM(C92:C103)</f>
        <v>400193000</v>
      </c>
      <c r="D104" s="8">
        <f>SUM(D92:D103)</f>
        <v>69077000</v>
      </c>
      <c r="F104" s="13">
        <f>C104+D104</f>
        <v>469270000</v>
      </c>
    </row>
    <row r="105" spans="1:4" ht="17.25" customHeight="1">
      <c r="A105" s="12">
        <f>A104-1</f>
        <v>2022</v>
      </c>
      <c r="B105" s="8"/>
      <c r="C105" s="9"/>
      <c r="D105" s="9"/>
    </row>
    <row r="106" spans="1:4" ht="15">
      <c r="A106" s="12">
        <f>A105-1</f>
        <v>2021</v>
      </c>
      <c r="B106" s="8"/>
      <c r="C106" s="9"/>
      <c r="D106" s="9"/>
    </row>
    <row r="107" spans="1:4" ht="15">
      <c r="A107" s="12">
        <f>A106-1</f>
        <v>2020</v>
      </c>
      <c r="B107" s="14"/>
      <c r="C107" s="15"/>
      <c r="D107" s="15"/>
    </row>
    <row r="108" spans="1:4" ht="15">
      <c r="A108" s="12">
        <f>A107-1</f>
        <v>2019</v>
      </c>
      <c r="B108" s="14"/>
      <c r="C108" s="15"/>
      <c r="D108" s="15"/>
    </row>
    <row r="109" spans="1:4" ht="15">
      <c r="A109" s="2"/>
      <c r="B109" s="2"/>
      <c r="C109" s="2"/>
      <c r="D109" s="2"/>
    </row>
    <row r="110" spans="1:4" ht="15">
      <c r="A110" s="2"/>
      <c r="B110" s="2"/>
      <c r="C110" s="2"/>
      <c r="D110" s="2"/>
    </row>
    <row r="111" spans="1:4" ht="15">
      <c r="A111" s="2"/>
      <c r="B111" s="2"/>
      <c r="C111" s="2"/>
      <c r="D111" s="2"/>
    </row>
    <row r="112" spans="1:4" ht="15">
      <c r="A112" s="2"/>
      <c r="B112" s="2"/>
      <c r="C112" s="2"/>
      <c r="D112" s="2"/>
    </row>
    <row r="113" spans="1:4" ht="15">
      <c r="A113" s="2"/>
      <c r="B113" s="2"/>
      <c r="C113" s="2"/>
      <c r="D113" s="2"/>
    </row>
    <row r="114" spans="1:4" ht="15">
      <c r="A114" s="2"/>
      <c r="B114" s="2"/>
      <c r="C114" s="2"/>
      <c r="D114" s="2"/>
    </row>
    <row r="115" spans="1:4" ht="15">
      <c r="A115" s="2"/>
      <c r="B115" s="2"/>
      <c r="C115" s="2"/>
      <c r="D115" s="2"/>
    </row>
    <row r="116" spans="1:4" ht="15">
      <c r="A116" s="2"/>
      <c r="B116" s="2"/>
      <c r="C116" s="2"/>
      <c r="D116" s="2"/>
    </row>
    <row r="117" spans="1:4" ht="15">
      <c r="A117" s="2"/>
      <c r="B117" s="2"/>
      <c r="C117" s="2"/>
      <c r="D117" s="2"/>
    </row>
    <row r="118" spans="1:4" ht="15">
      <c r="A118" s="2"/>
      <c r="B118" s="2"/>
      <c r="C118" s="2"/>
      <c r="D118" s="2"/>
    </row>
    <row r="119" spans="1:4" ht="15">
      <c r="A119" s="2"/>
      <c r="B119" s="2"/>
      <c r="C119" s="2"/>
      <c r="D119" s="2"/>
    </row>
    <row r="120" spans="1:4" ht="15">
      <c r="A120" s="2"/>
      <c r="B120" s="2"/>
      <c r="C120" s="2"/>
      <c r="D120" s="2"/>
    </row>
    <row r="121" spans="1:4" ht="15">
      <c r="A121" s="2"/>
      <c r="B121" s="2"/>
      <c r="C121" s="2"/>
      <c r="D121" s="2"/>
    </row>
    <row r="122" spans="1:4" ht="15">
      <c r="A122" s="2"/>
      <c r="B122" s="2"/>
      <c r="C122" s="2"/>
      <c r="D122" s="2"/>
    </row>
    <row r="123" spans="1:4" ht="15">
      <c r="A123" s="2"/>
      <c r="B123" s="2"/>
      <c r="C123" s="2"/>
      <c r="D123" s="2"/>
    </row>
    <row r="124" spans="1:4" ht="15">
      <c r="A124" s="2"/>
      <c r="B124" s="2"/>
      <c r="C124" s="2"/>
      <c r="D124" s="2"/>
    </row>
    <row r="125" spans="1:4" ht="15">
      <c r="A125" s="2"/>
      <c r="B125" s="2"/>
      <c r="C125" s="2"/>
      <c r="D125" s="2"/>
    </row>
    <row r="126" spans="1:4" ht="15">
      <c r="A126" s="2"/>
      <c r="B126" s="2"/>
      <c r="C126" s="2"/>
      <c r="D126" s="2"/>
    </row>
    <row r="127" spans="1:4" ht="15">
      <c r="A127" s="3" t="s">
        <v>0</v>
      </c>
      <c r="B127" s="3"/>
      <c r="C127" s="3"/>
      <c r="D127" s="3"/>
    </row>
    <row r="128" spans="1:4" ht="15">
      <c r="A128" s="4" t="s">
        <v>1</v>
      </c>
      <c r="B128" s="4"/>
      <c r="C128" s="4"/>
      <c r="D128" s="4"/>
    </row>
    <row r="129" spans="1:4" ht="15">
      <c r="A129" s="4" t="s">
        <v>25</v>
      </c>
      <c r="B129" s="4"/>
      <c r="C129" s="4"/>
      <c r="D129" s="4"/>
    </row>
    <row r="130" spans="1:4" ht="15">
      <c r="A130" s="2"/>
      <c r="B130" s="2"/>
      <c r="C130" s="2"/>
      <c r="D130" s="2"/>
    </row>
    <row r="131" spans="1:4" ht="15">
      <c r="A131" s="5" t="s">
        <v>3</v>
      </c>
      <c r="B131" s="5" t="s">
        <v>4</v>
      </c>
      <c r="C131" s="5" t="s">
        <v>5</v>
      </c>
      <c r="D131" s="5" t="s">
        <v>5</v>
      </c>
    </row>
    <row r="132" spans="1:4" ht="15">
      <c r="A132" s="5" t="s">
        <v>6</v>
      </c>
      <c r="B132" s="5" t="s">
        <v>7</v>
      </c>
      <c r="C132" s="5" t="s">
        <v>8</v>
      </c>
      <c r="D132" s="5" t="s">
        <v>9</v>
      </c>
    </row>
    <row r="133" spans="1:5" ht="15">
      <c r="A133" s="6"/>
      <c r="B133" s="6"/>
      <c r="C133" s="6" t="s">
        <v>10</v>
      </c>
      <c r="D133" s="6" t="s">
        <v>10</v>
      </c>
      <c r="E133" s="3"/>
    </row>
    <row r="134" spans="1:5" ht="15">
      <c r="A134" s="6">
        <v>1</v>
      </c>
      <c r="B134" s="6">
        <v>2</v>
      </c>
      <c r="C134" s="6">
        <v>3</v>
      </c>
      <c r="D134" s="6">
        <v>4</v>
      </c>
      <c r="E134" s="3"/>
    </row>
    <row r="135" spans="1:4" ht="15.75" customHeight="1">
      <c r="A135" s="19" t="s">
        <v>11</v>
      </c>
      <c r="B135" s="14">
        <f>19845+3076</f>
        <v>22921</v>
      </c>
      <c r="C135" s="18">
        <v>0</v>
      </c>
      <c r="D135" s="18">
        <v>0</v>
      </c>
    </row>
    <row r="136" spans="1:4" ht="15">
      <c r="A136" s="20" t="s">
        <v>12</v>
      </c>
      <c r="B136" s="14">
        <f>15328+3076</f>
        <v>18404</v>
      </c>
      <c r="C136" s="18">
        <v>0</v>
      </c>
      <c r="D136" s="18">
        <v>0</v>
      </c>
    </row>
    <row r="137" spans="1:5" s="3" customFormat="1" ht="15">
      <c r="A137" s="20" t="s">
        <v>13</v>
      </c>
      <c r="B137" s="14">
        <f>15106+3076</f>
        <v>18182</v>
      </c>
      <c r="C137" s="18">
        <v>115500000</v>
      </c>
      <c r="D137" s="15">
        <v>0</v>
      </c>
      <c r="E137" s="16"/>
    </row>
    <row r="138" spans="1:5" s="3" customFormat="1" ht="15">
      <c r="A138" s="20" t="s">
        <v>14</v>
      </c>
      <c r="B138" s="14">
        <f>15822+3076</f>
        <v>18898</v>
      </c>
      <c r="C138" s="18">
        <v>0</v>
      </c>
      <c r="D138" s="15">
        <v>0</v>
      </c>
      <c r="E138" s="16"/>
    </row>
    <row r="139" spans="1:6" ht="15">
      <c r="A139" s="20" t="s">
        <v>15</v>
      </c>
      <c r="B139" s="14">
        <f>18842+3076</f>
        <v>21918</v>
      </c>
      <c r="C139" s="18">
        <v>25000000</v>
      </c>
      <c r="D139" s="15">
        <v>0</v>
      </c>
      <c r="F139" s="17"/>
    </row>
    <row r="140" spans="1:6" ht="15">
      <c r="A140" s="20" t="s">
        <v>16</v>
      </c>
      <c r="B140" s="14">
        <f>16252+3076</f>
        <v>19328</v>
      </c>
      <c r="C140" s="18">
        <v>115500000</v>
      </c>
      <c r="D140" s="15">
        <v>0</v>
      </c>
      <c r="F140" s="17"/>
    </row>
    <row r="141" spans="1:6" ht="15">
      <c r="A141" s="20" t="s">
        <v>17</v>
      </c>
      <c r="B141" s="14">
        <f>17462+3076</f>
        <v>20538</v>
      </c>
      <c r="C141" s="18">
        <v>0</v>
      </c>
      <c r="D141" s="15">
        <v>0</v>
      </c>
      <c r="F141" s="17"/>
    </row>
    <row r="142" spans="1:6" ht="15">
      <c r="A142" s="20" t="s">
        <v>18</v>
      </c>
      <c r="B142" s="14">
        <f>13050+3076</f>
        <v>16126</v>
      </c>
      <c r="C142" s="18">
        <v>0</v>
      </c>
      <c r="D142" s="15">
        <v>0</v>
      </c>
      <c r="F142" s="17"/>
    </row>
    <row r="143" spans="1:6" ht="15">
      <c r="A143" s="20" t="s">
        <v>19</v>
      </c>
      <c r="B143" s="14">
        <v>14917</v>
      </c>
      <c r="C143" s="18">
        <v>77000000</v>
      </c>
      <c r="D143" s="15">
        <v>0</v>
      </c>
      <c r="F143" s="17"/>
    </row>
    <row r="144" spans="1:6" ht="15">
      <c r="A144" s="20" t="s">
        <v>20</v>
      </c>
      <c r="B144" s="14">
        <v>13929</v>
      </c>
      <c r="C144" s="18">
        <v>0</v>
      </c>
      <c r="D144" s="15">
        <v>0</v>
      </c>
      <c r="F144" s="17"/>
    </row>
    <row r="145" spans="1:6" ht="15">
      <c r="A145" s="20" t="s">
        <v>21</v>
      </c>
      <c r="B145" s="14">
        <v>12686</v>
      </c>
      <c r="C145" s="18">
        <v>0</v>
      </c>
      <c r="D145" s="15">
        <v>0</v>
      </c>
      <c r="F145" s="17"/>
    </row>
    <row r="146" spans="1:6" ht="15">
      <c r="A146" s="20" t="s">
        <v>22</v>
      </c>
      <c r="B146" s="14">
        <v>16633</v>
      </c>
      <c r="C146" s="18">
        <v>60592000</v>
      </c>
      <c r="D146" s="15">
        <v>0</v>
      </c>
      <c r="F146" s="17"/>
    </row>
    <row r="147" spans="1:4" ht="15.75" customHeight="1">
      <c r="A147" s="12">
        <v>2023</v>
      </c>
      <c r="B147" s="8">
        <f>SUM(B135:B146)</f>
        <v>214480</v>
      </c>
      <c r="C147" s="8">
        <f>SUM(C135:C146)</f>
        <v>393592000</v>
      </c>
      <c r="D147" s="8">
        <v>0</v>
      </c>
    </row>
    <row r="148" spans="1:4" ht="17.25" customHeight="1">
      <c r="A148" s="12">
        <f>A147-1</f>
        <v>2022</v>
      </c>
      <c r="B148" s="8">
        <v>120260</v>
      </c>
      <c r="C148" s="9">
        <v>433300000</v>
      </c>
      <c r="D148" s="9">
        <v>0</v>
      </c>
    </row>
    <row r="149" spans="1:4" ht="15">
      <c r="A149" s="12">
        <f>A148-1</f>
        <v>2021</v>
      </c>
      <c r="B149" s="8">
        <v>53658</v>
      </c>
      <c r="C149" s="9">
        <v>266000000</v>
      </c>
      <c r="D149" s="9">
        <v>0</v>
      </c>
    </row>
    <row r="150" spans="1:4" ht="15">
      <c r="A150" s="12">
        <f>A149-1</f>
        <v>2020</v>
      </c>
      <c r="B150" s="14">
        <v>287604</v>
      </c>
      <c r="C150" s="15">
        <v>58252000</v>
      </c>
      <c r="D150" s="15">
        <v>400000000</v>
      </c>
    </row>
    <row r="151" spans="1:4" ht="15">
      <c r="A151" s="12">
        <f>A150-1</f>
        <v>2019</v>
      </c>
      <c r="B151" s="14">
        <v>66504</v>
      </c>
      <c r="C151" s="15">
        <v>218190000</v>
      </c>
      <c r="D151" s="15">
        <v>206000000</v>
      </c>
    </row>
    <row r="152" spans="1:4" ht="15">
      <c r="A152" s="21"/>
      <c r="B152" s="21"/>
      <c r="C152" s="21"/>
      <c r="D152" s="21"/>
    </row>
    <row r="153" spans="1:4" ht="15">
      <c r="A153" s="2"/>
      <c r="B153" s="2"/>
      <c r="C153" s="2"/>
      <c r="D153" s="2"/>
    </row>
    <row r="154" spans="1:4" ht="15">
      <c r="A154" s="2"/>
      <c r="B154" s="2"/>
      <c r="C154" s="2"/>
      <c r="D154" s="2"/>
    </row>
    <row r="155" spans="1:4" ht="15">
      <c r="A155" s="2"/>
      <c r="B155" s="2"/>
      <c r="C155" s="2"/>
      <c r="D155" s="2"/>
    </row>
    <row r="156" spans="1:4" ht="15">
      <c r="A156" s="2"/>
      <c r="B156" s="2"/>
      <c r="C156" s="2"/>
      <c r="D156" s="2"/>
    </row>
    <row r="157" spans="1:4" ht="15">
      <c r="A157" s="2"/>
      <c r="B157" s="2"/>
      <c r="C157" s="2"/>
      <c r="D157" s="2"/>
    </row>
    <row r="158" spans="1:4" ht="15">
      <c r="A158" s="2"/>
      <c r="B158" s="2"/>
      <c r="C158" s="2"/>
      <c r="D158" s="2"/>
    </row>
    <row r="159" spans="1:4" ht="15">
      <c r="A159" s="2"/>
      <c r="B159" s="2"/>
      <c r="C159" s="2"/>
      <c r="D159" s="2"/>
    </row>
    <row r="160" spans="1:4" ht="15">
      <c r="A160" s="2"/>
      <c r="B160" s="2"/>
      <c r="C160" s="2"/>
      <c r="D160" s="2"/>
    </row>
    <row r="161" spans="1:4" ht="15">
      <c r="A161" s="2"/>
      <c r="B161" s="2"/>
      <c r="C161" s="2"/>
      <c r="D161" s="2"/>
    </row>
    <row r="162" spans="1:4" ht="15">
      <c r="A162" s="2"/>
      <c r="B162" s="2"/>
      <c r="C162" s="2"/>
      <c r="D162" s="2"/>
    </row>
    <row r="163" spans="1:4" ht="15">
      <c r="A163" s="2"/>
      <c r="B163" s="2"/>
      <c r="C163" s="2"/>
      <c r="D163" s="2"/>
    </row>
    <row r="164" spans="1:4" ht="15">
      <c r="A164" s="2"/>
      <c r="B164" s="2"/>
      <c r="C164" s="2"/>
      <c r="D164" s="2"/>
    </row>
    <row r="165" spans="1:4" ht="15">
      <c r="A165" s="2"/>
      <c r="B165" s="2"/>
      <c r="C165" s="2"/>
      <c r="D165" s="2"/>
    </row>
    <row r="166" spans="1:4" ht="15">
      <c r="A166" s="2"/>
      <c r="B166" s="2"/>
      <c r="C166" s="2"/>
      <c r="D166" s="2"/>
    </row>
    <row r="167" spans="1:4" ht="15">
      <c r="A167" s="2"/>
      <c r="B167" s="2"/>
      <c r="C167" s="2"/>
      <c r="D167" s="2"/>
    </row>
    <row r="168" spans="1:4" ht="15">
      <c r="A168" s="2"/>
      <c r="B168" s="2"/>
      <c r="C168" s="2"/>
      <c r="D168" s="2"/>
    </row>
    <row r="169" spans="1:4" ht="15">
      <c r="A169" s="2"/>
      <c r="B169" s="2"/>
      <c r="C169" s="2"/>
      <c r="D169" s="2"/>
    </row>
    <row r="170" spans="1:4" ht="15">
      <c r="A170" s="3" t="s">
        <v>0</v>
      </c>
      <c r="B170" s="3"/>
      <c r="C170" s="3"/>
      <c r="D170" s="3"/>
    </row>
    <row r="171" spans="1:4" ht="15">
      <c r="A171" s="4" t="s">
        <v>1</v>
      </c>
      <c r="B171" s="4"/>
      <c r="C171" s="4"/>
      <c r="D171" s="4"/>
    </row>
    <row r="172" spans="1:4" ht="15">
      <c r="A172" s="4" t="s">
        <v>26</v>
      </c>
      <c r="B172" s="4"/>
      <c r="C172" s="4"/>
      <c r="D172" s="4"/>
    </row>
    <row r="173" spans="1:4" ht="15">
      <c r="A173" s="2"/>
      <c r="B173" s="2"/>
      <c r="C173" s="2"/>
      <c r="D173" s="2"/>
    </row>
    <row r="174" spans="1:4" ht="15">
      <c r="A174" s="5" t="s">
        <v>3</v>
      </c>
      <c r="B174" s="5" t="s">
        <v>4</v>
      </c>
      <c r="C174" s="5" t="s">
        <v>5</v>
      </c>
      <c r="D174" s="5" t="s">
        <v>5</v>
      </c>
    </row>
    <row r="175" spans="1:4" ht="15">
      <c r="A175" s="5" t="s">
        <v>6</v>
      </c>
      <c r="B175" s="5" t="s">
        <v>7</v>
      </c>
      <c r="C175" s="5" t="s">
        <v>8</v>
      </c>
      <c r="D175" s="5" t="s">
        <v>9</v>
      </c>
    </row>
    <row r="176" spans="1:5" ht="15">
      <c r="A176" s="6"/>
      <c r="B176" s="6"/>
      <c r="C176" s="6" t="s">
        <v>10</v>
      </c>
      <c r="D176" s="6" t="s">
        <v>10</v>
      </c>
      <c r="E176" s="3"/>
    </row>
    <row r="177" spans="1:5" ht="15">
      <c r="A177" s="6">
        <v>1</v>
      </c>
      <c r="B177" s="6">
        <v>2</v>
      </c>
      <c r="C177" s="6">
        <v>3</v>
      </c>
      <c r="D177" s="6">
        <v>4</v>
      </c>
      <c r="E177" s="3"/>
    </row>
    <row r="178" spans="1:4" ht="15.75" customHeight="1">
      <c r="A178" s="7" t="s">
        <v>11</v>
      </c>
      <c r="B178" s="8">
        <f>406+305</f>
        <v>711</v>
      </c>
      <c r="C178" s="9">
        <v>385700</v>
      </c>
      <c r="D178" s="10"/>
    </row>
    <row r="179" spans="1:4" ht="15">
      <c r="A179" s="10" t="s">
        <v>12</v>
      </c>
      <c r="B179" s="8">
        <v>5943</v>
      </c>
      <c r="C179" s="9">
        <v>5645850</v>
      </c>
      <c r="D179" s="10"/>
    </row>
    <row r="180" spans="1:5" s="3" customFormat="1" ht="15">
      <c r="A180" s="10" t="s">
        <v>13</v>
      </c>
      <c r="B180" s="8">
        <v>2801</v>
      </c>
      <c r="C180" s="22">
        <v>2660950</v>
      </c>
      <c r="D180" s="10"/>
      <c r="E180" s="16"/>
    </row>
    <row r="181" spans="1:5" s="3" customFormat="1" ht="15">
      <c r="A181" s="10" t="s">
        <v>14</v>
      </c>
      <c r="B181" s="8">
        <v>2109</v>
      </c>
      <c r="C181" s="22">
        <v>2003550</v>
      </c>
      <c r="D181" s="10"/>
      <c r="E181" s="16"/>
    </row>
    <row r="182" spans="1:4" ht="15">
      <c r="A182" s="10" t="s">
        <v>15</v>
      </c>
      <c r="B182" s="8">
        <f>10531+200</f>
        <v>10731</v>
      </c>
      <c r="C182" s="22">
        <v>10004450</v>
      </c>
      <c r="D182" s="10"/>
    </row>
    <row r="183" spans="1:4" ht="15">
      <c r="A183" s="10" t="s">
        <v>16</v>
      </c>
      <c r="B183" s="8">
        <v>4377</v>
      </c>
      <c r="C183" s="22">
        <v>4158150</v>
      </c>
      <c r="D183" s="10"/>
    </row>
    <row r="184" spans="1:4" ht="15">
      <c r="A184" s="10" t="s">
        <v>17</v>
      </c>
      <c r="B184" s="8">
        <v>3043</v>
      </c>
      <c r="C184" s="22">
        <v>2890850</v>
      </c>
      <c r="D184" s="10"/>
    </row>
    <row r="185" spans="1:4" ht="15">
      <c r="A185" s="10" t="s">
        <v>18</v>
      </c>
      <c r="B185" s="8">
        <v>4237</v>
      </c>
      <c r="C185" s="22">
        <v>4025250</v>
      </c>
      <c r="D185" s="10"/>
    </row>
    <row r="186" spans="1:4" ht="15">
      <c r="A186" s="10" t="s">
        <v>19</v>
      </c>
      <c r="B186" s="8">
        <v>2731</v>
      </c>
      <c r="C186" s="22">
        <v>2594450</v>
      </c>
      <c r="D186" s="10"/>
    </row>
    <row r="187" spans="1:4" ht="15">
      <c r="A187" s="10" t="s">
        <v>20</v>
      </c>
      <c r="B187" s="8">
        <v>3144</v>
      </c>
      <c r="C187" s="22">
        <v>2986800</v>
      </c>
      <c r="D187" s="10"/>
    </row>
    <row r="188" spans="1:4" ht="15">
      <c r="A188" s="10" t="s">
        <v>21</v>
      </c>
      <c r="B188" s="8">
        <v>5303</v>
      </c>
      <c r="C188" s="22">
        <v>5037850</v>
      </c>
      <c r="D188" s="10"/>
    </row>
    <row r="189" spans="1:4" ht="15">
      <c r="A189" s="10" t="s">
        <v>22</v>
      </c>
      <c r="B189" s="8">
        <v>9229</v>
      </c>
      <c r="C189" s="22">
        <v>8767550</v>
      </c>
      <c r="D189" s="10"/>
    </row>
    <row r="190" spans="1:4" ht="15.75" customHeight="1">
      <c r="A190" s="12">
        <v>2023</v>
      </c>
      <c r="B190" s="8">
        <f>SUM(B178:B189)</f>
        <v>54359</v>
      </c>
      <c r="C190" s="8">
        <f>SUM(C178:C189)</f>
        <v>51161400</v>
      </c>
      <c r="D190" s="8"/>
    </row>
    <row r="191" spans="1:4" ht="17.25" customHeight="1">
      <c r="A191" s="12">
        <f>A190-1</f>
        <v>2022</v>
      </c>
      <c r="B191" s="8">
        <v>80813</v>
      </c>
      <c r="C191" s="9">
        <v>76772350</v>
      </c>
      <c r="D191" s="9"/>
    </row>
    <row r="192" spans="1:4" ht="15">
      <c r="A192" s="12">
        <f>A191-1</f>
        <v>2021</v>
      </c>
      <c r="B192" s="8">
        <v>80548</v>
      </c>
      <c r="C192" s="9">
        <v>76520600</v>
      </c>
      <c r="D192" s="9"/>
    </row>
    <row r="193" spans="1:4" ht="15">
      <c r="A193" s="12">
        <f>A192-1</f>
        <v>2020</v>
      </c>
      <c r="B193" s="14">
        <v>69805</v>
      </c>
      <c r="C193" s="15">
        <v>68110250</v>
      </c>
      <c r="D193" s="15"/>
    </row>
    <row r="194" spans="1:4" ht="15">
      <c r="A194" s="12">
        <f>A193-1</f>
        <v>2019</v>
      </c>
      <c r="B194" s="14">
        <v>119744</v>
      </c>
      <c r="C194" s="15">
        <v>113756350</v>
      </c>
      <c r="D194" s="15"/>
    </row>
    <row r="195" spans="1:4" ht="15">
      <c r="A195" s="2"/>
      <c r="B195" s="2"/>
      <c r="C195" s="2"/>
      <c r="D195" s="2"/>
    </row>
    <row r="199" spans="1:1" ht="15">
      <c r="A199" s="16" t="s">
        <v>27</v>
      </c>
    </row>
    <row r="202" spans="1:4" ht="15">
      <c r="A202" s="3" t="s">
        <v>0</v>
      </c>
      <c r="B202" s="3"/>
      <c r="C202" s="3"/>
      <c r="D202" s="3"/>
    </row>
    <row r="203" spans="1:4" ht="15">
      <c r="A203" s="4" t="s">
        <v>1</v>
      </c>
      <c r="B203" s="4"/>
      <c r="C203" s="4"/>
      <c r="D203" s="4"/>
    </row>
    <row r="204" spans="1:4" ht="15">
      <c r="A204" s="4" t="s">
        <v>28</v>
      </c>
      <c r="B204" s="4"/>
      <c r="C204" s="4"/>
      <c r="D204" s="4"/>
    </row>
    <row r="205" spans="1:4" ht="15">
      <c r="A205" s="4" t="s">
        <v>29</v>
      </c>
      <c r="B205" s="4"/>
      <c r="C205" s="4"/>
      <c r="D205" s="4"/>
    </row>
    <row r="206" spans="1:4" ht="15">
      <c r="A206" s="4" t="s">
        <v>30</v>
      </c>
      <c r="B206" s="4"/>
      <c r="C206" s="4"/>
      <c r="D206" s="4"/>
    </row>
    <row r="207" spans="1:4" ht="15">
      <c r="A207" s="2"/>
      <c r="B207" s="2"/>
      <c r="C207" s="2"/>
      <c r="D207" s="2"/>
    </row>
    <row r="208" spans="1:4" ht="15">
      <c r="A208" s="5" t="s">
        <v>3</v>
      </c>
      <c r="B208" s="5" t="s">
        <v>4</v>
      </c>
      <c r="C208" s="5" t="s">
        <v>5</v>
      </c>
      <c r="D208" s="5" t="s">
        <v>5</v>
      </c>
    </row>
    <row r="209" spans="1:4" ht="15">
      <c r="A209" s="5" t="s">
        <v>6</v>
      </c>
      <c r="B209" s="5" t="s">
        <v>7</v>
      </c>
      <c r="C209" s="5" t="s">
        <v>8</v>
      </c>
      <c r="D209" s="5" t="s">
        <v>9</v>
      </c>
    </row>
    <row r="210" spans="1:4" ht="15">
      <c r="A210" s="6"/>
      <c r="B210" s="6"/>
      <c r="C210" s="6" t="s">
        <v>10</v>
      </c>
      <c r="D210" s="6" t="s">
        <v>10</v>
      </c>
    </row>
    <row r="211" spans="1:4" ht="15">
      <c r="A211" s="6">
        <v>1</v>
      </c>
      <c r="B211" s="6">
        <v>2</v>
      </c>
      <c r="C211" s="6">
        <v>3</v>
      </c>
      <c r="D211" s="6">
        <v>4</v>
      </c>
    </row>
    <row r="212" spans="1:4" ht="15">
      <c r="A212" s="7" t="s">
        <v>11</v>
      </c>
      <c r="B212" s="14">
        <v>1884</v>
      </c>
      <c r="C212" s="18">
        <v>6531000</v>
      </c>
      <c r="D212" s="23"/>
    </row>
    <row r="213" spans="1:4" ht="15">
      <c r="A213" s="10" t="s">
        <v>12</v>
      </c>
      <c r="B213" s="14">
        <v>1640</v>
      </c>
      <c r="C213" s="18">
        <v>0</v>
      </c>
      <c r="D213" s="23"/>
    </row>
    <row r="214" spans="1:4" ht="15">
      <c r="A214" s="10" t="s">
        <v>13</v>
      </c>
      <c r="B214" s="14">
        <v>1748</v>
      </c>
      <c r="C214" s="18">
        <v>0</v>
      </c>
      <c r="D214" s="23"/>
    </row>
    <row r="215" spans="1:4" ht="15">
      <c r="A215" s="10" t="s">
        <v>14</v>
      </c>
      <c r="B215" s="14">
        <v>3224</v>
      </c>
      <c r="C215" s="18">
        <v>0</v>
      </c>
      <c r="D215" s="23"/>
    </row>
    <row r="216" spans="1:4" ht="15">
      <c r="A216" s="10" t="s">
        <v>15</v>
      </c>
      <c r="B216" s="14">
        <f>1310+200</f>
        <v>1510</v>
      </c>
      <c r="C216" s="18">
        <v>3408000</v>
      </c>
      <c r="D216" s="23"/>
    </row>
    <row r="217" spans="1:4" ht="15">
      <c r="A217" s="10" t="s">
        <v>16</v>
      </c>
      <c r="B217" s="14">
        <v>1475</v>
      </c>
      <c r="C217" s="18">
        <v>0</v>
      </c>
      <c r="D217" s="23"/>
    </row>
    <row r="218" spans="1:4" ht="15">
      <c r="A218" s="10" t="s">
        <v>17</v>
      </c>
      <c r="B218" s="14">
        <v>1526</v>
      </c>
      <c r="C218" s="18">
        <v>9013500</v>
      </c>
      <c r="D218" s="23"/>
    </row>
    <row r="219" spans="1:4" ht="15">
      <c r="A219" s="10" t="s">
        <v>18</v>
      </c>
      <c r="B219" s="14">
        <v>1984</v>
      </c>
      <c r="C219" s="18">
        <v>0</v>
      </c>
      <c r="D219" s="23"/>
    </row>
    <row r="220" spans="1:4" ht="15">
      <c r="A220" s="10" t="s">
        <v>19</v>
      </c>
      <c r="B220" s="14">
        <v>1811</v>
      </c>
      <c r="C220" s="18">
        <v>0</v>
      </c>
      <c r="D220" s="23"/>
    </row>
    <row r="221" spans="1:4" ht="15">
      <c r="A221" s="10" t="s">
        <v>20</v>
      </c>
      <c r="B221" s="14">
        <f>1740+200</f>
        <v>1940</v>
      </c>
      <c r="C221" s="18">
        <v>4981500</v>
      </c>
      <c r="D221" s="23"/>
    </row>
    <row r="222" spans="1:4" ht="15">
      <c r="A222" s="10" t="s">
        <v>21</v>
      </c>
      <c r="B222" s="14">
        <v>1559</v>
      </c>
      <c r="C222" s="18">
        <v>0</v>
      </c>
      <c r="D222" s="23"/>
    </row>
    <row r="223" spans="1:4" ht="15">
      <c r="A223" s="10" t="s">
        <v>22</v>
      </c>
      <c r="B223" s="14">
        <f>1260+200</f>
        <v>1460</v>
      </c>
      <c r="C223" s="18">
        <v>0</v>
      </c>
      <c r="D223" s="23"/>
    </row>
    <row r="224" spans="1:4" ht="15">
      <c r="A224" s="10" t="s">
        <v>31</v>
      </c>
      <c r="B224" s="24">
        <f>SUM(B212:B223)</f>
        <v>21761</v>
      </c>
      <c r="C224" s="24">
        <f>SUM(C212:C223)</f>
        <v>23934000</v>
      </c>
      <c r="D224" s="24"/>
    </row>
    <row r="225" spans="1:4" ht="15">
      <c r="A225" s="10" t="s">
        <v>32</v>
      </c>
      <c r="B225" s="24">
        <v>25929</v>
      </c>
      <c r="C225" s="24">
        <v>32362500</v>
      </c>
      <c r="D225" s="24"/>
    </row>
    <row r="229" spans="1:4" ht="15">
      <c r="A229" s="3" t="s">
        <v>0</v>
      </c>
      <c r="B229" s="3"/>
      <c r="C229" s="3"/>
      <c r="D229" s="3"/>
    </row>
    <row r="230" spans="1:4" ht="15">
      <c r="A230" s="4" t="s">
        <v>33</v>
      </c>
      <c r="B230" s="4"/>
      <c r="C230" s="4"/>
      <c r="D230" s="4"/>
    </row>
    <row r="231" spans="1:4" ht="15">
      <c r="A231" s="4" t="s">
        <v>34</v>
      </c>
      <c r="B231" s="4"/>
      <c r="C231" s="4"/>
      <c r="D231" s="4"/>
    </row>
    <row r="232" spans="1:4" ht="15">
      <c r="A232" s="4" t="s">
        <v>35</v>
      </c>
      <c r="B232" s="4"/>
      <c r="C232" s="4"/>
      <c r="D232" s="4"/>
    </row>
    <row r="233" spans="1:4" ht="15">
      <c r="A233" s="4" t="s">
        <v>30</v>
      </c>
      <c r="B233" s="4"/>
      <c r="C233" s="4"/>
      <c r="D233" s="4"/>
    </row>
    <row r="235" spans="1:4" ht="15">
      <c r="A235" s="5" t="s">
        <v>3</v>
      </c>
      <c r="B235" s="5" t="s">
        <v>36</v>
      </c>
      <c r="C235" s="5" t="s">
        <v>5</v>
      </c>
      <c r="D235" s="5" t="s">
        <v>5</v>
      </c>
    </row>
    <row r="236" spans="1:4" ht="15">
      <c r="A236" s="5" t="s">
        <v>6</v>
      </c>
      <c r="B236" s="5" t="s">
        <v>37</v>
      </c>
      <c r="C236" s="5" t="s">
        <v>8</v>
      </c>
      <c r="D236" s="5" t="s">
        <v>9</v>
      </c>
    </row>
    <row r="237" spans="1:4" ht="15">
      <c r="A237" s="6"/>
      <c r="B237" s="6"/>
      <c r="C237" s="6" t="s">
        <v>10</v>
      </c>
      <c r="D237" s="6" t="s">
        <v>10</v>
      </c>
    </row>
    <row r="238" spans="1:4" ht="15">
      <c r="A238" s="6">
        <v>1</v>
      </c>
      <c r="B238" s="6">
        <v>2</v>
      </c>
      <c r="C238" s="6">
        <v>3</v>
      </c>
      <c r="D238" s="6">
        <v>4</v>
      </c>
    </row>
    <row r="239" spans="1:4" ht="15">
      <c r="A239" s="7" t="s">
        <v>11</v>
      </c>
      <c r="B239" s="14">
        <v>210</v>
      </c>
      <c r="C239" s="18">
        <v>36900000</v>
      </c>
      <c r="D239" s="18"/>
    </row>
    <row r="240" spans="1:4" ht="15">
      <c r="A240" s="10" t="s">
        <v>12</v>
      </c>
      <c r="B240" s="14">
        <v>199</v>
      </c>
      <c r="C240" s="18">
        <v>34750000</v>
      </c>
      <c r="D240" s="18"/>
    </row>
    <row r="241" spans="1:4" ht="15">
      <c r="A241" s="10" t="s">
        <v>13</v>
      </c>
      <c r="B241" s="14">
        <v>198</v>
      </c>
      <c r="C241" s="18">
        <v>34400000</v>
      </c>
      <c r="D241" s="18"/>
    </row>
    <row r="242" spans="1:4" ht="15">
      <c r="A242" s="10" t="s">
        <v>14</v>
      </c>
      <c r="B242" s="14">
        <v>221</v>
      </c>
      <c r="C242" s="18">
        <v>39200000</v>
      </c>
      <c r="D242" s="18"/>
    </row>
    <row r="243" spans="1:4" ht="15">
      <c r="A243" s="10" t="s">
        <v>15</v>
      </c>
      <c r="B243" s="14">
        <v>293</v>
      </c>
      <c r="C243" s="18">
        <f>44960000-D243</f>
        <v>43000000</v>
      </c>
      <c r="D243" s="18">
        <v>1960000</v>
      </c>
    </row>
    <row r="244" spans="1:4" ht="15">
      <c r="A244" s="10" t="s">
        <v>16</v>
      </c>
      <c r="B244" s="14">
        <v>227</v>
      </c>
      <c r="C244" s="18">
        <v>39900000</v>
      </c>
      <c r="D244" s="18"/>
    </row>
    <row r="245" spans="1:4" ht="15">
      <c r="A245" s="10" t="s">
        <v>17</v>
      </c>
      <c r="B245" s="14">
        <v>243</v>
      </c>
      <c r="C245" s="18">
        <v>43250000</v>
      </c>
      <c r="D245" s="18"/>
    </row>
    <row r="246" spans="1:4" ht="15">
      <c r="A246" s="10" t="s">
        <v>18</v>
      </c>
      <c r="B246" s="14">
        <v>229</v>
      </c>
      <c r="C246" s="18">
        <f>42110000-D246</f>
        <v>40150000</v>
      </c>
      <c r="D246" s="18">
        <v>1960000</v>
      </c>
    </row>
    <row r="247" spans="1:4" ht="15">
      <c r="A247" s="10" t="s">
        <v>19</v>
      </c>
      <c r="B247" s="14">
        <v>226</v>
      </c>
      <c r="C247" s="18">
        <f>43035900-D247</f>
        <v>39550000</v>
      </c>
      <c r="D247" s="18">
        <v>3485900</v>
      </c>
    </row>
    <row r="248" spans="1:4" ht="15">
      <c r="A248" s="10" t="s">
        <v>20</v>
      </c>
      <c r="B248" s="14">
        <v>222</v>
      </c>
      <c r="C248" s="18">
        <v>38800000</v>
      </c>
      <c r="D248" s="18"/>
    </row>
    <row r="249" spans="1:4" ht="15">
      <c r="A249" s="10" t="s">
        <v>21</v>
      </c>
      <c r="B249" s="14">
        <v>239</v>
      </c>
      <c r="C249" s="18">
        <v>42300000</v>
      </c>
      <c r="D249" s="18"/>
    </row>
    <row r="250" spans="1:4" ht="15">
      <c r="A250" s="10" t="s">
        <v>22</v>
      </c>
      <c r="B250" s="14">
        <v>127</v>
      </c>
      <c r="C250" s="18">
        <f>62120000-D250</f>
        <v>21800000</v>
      </c>
      <c r="D250" s="18">
        <v>40320000</v>
      </c>
    </row>
    <row r="251" spans="1:6" ht="15">
      <c r="A251" s="10" t="s">
        <v>31</v>
      </c>
      <c r="B251" s="24">
        <f>SUM(B239:B250)</f>
        <v>2634</v>
      </c>
      <c r="C251" s="18">
        <f>SUM(C239:C250)</f>
        <v>454000000</v>
      </c>
      <c r="D251" s="18">
        <f>SUM(D239:D250)</f>
        <v>47725900</v>
      </c>
      <c r="F251" s="17">
        <f>C251+D251</f>
        <v>501725900</v>
      </c>
    </row>
    <row r="252" spans="1:4" ht="15">
      <c r="A252" s="24" t="s">
        <v>38</v>
      </c>
      <c r="B252" s="24">
        <v>2554</v>
      </c>
      <c r="C252" s="18">
        <v>450000000</v>
      </c>
      <c r="D252" s="24"/>
    </row>
    <row r="253" spans="1:4" ht="15">
      <c r="A253" s="24" t="s">
        <v>39</v>
      </c>
      <c r="B253" s="14">
        <v>2234</v>
      </c>
      <c r="C253" s="18">
        <v>366775000</v>
      </c>
      <c r="D253" s="23"/>
    </row>
    <row r="254" spans="1:4" ht="15">
      <c r="A254" s="24" t="s">
        <v>40</v>
      </c>
      <c r="B254" s="14">
        <v>2230</v>
      </c>
      <c r="C254" s="18">
        <v>345975000</v>
      </c>
      <c r="D254" s="23"/>
    </row>
    <row r="255" spans="1:4" ht="15">
      <c r="A255" s="24" t="s">
        <v>41</v>
      </c>
      <c r="B255" s="14">
        <v>2280</v>
      </c>
      <c r="C255" s="18">
        <v>351050000</v>
      </c>
      <c r="D255" s="23"/>
    </row>
    <row r="256" spans="1:4" ht="15">
      <c r="A256" s="24" t="s">
        <v>42</v>
      </c>
      <c r="B256" s="14">
        <v>2079</v>
      </c>
      <c r="C256" s="18">
        <v>327350000</v>
      </c>
      <c r="D256" s="23"/>
    </row>
    <row r="257" spans="1:4" ht="15">
      <c r="A257" s="24" t="s">
        <v>43</v>
      </c>
      <c r="B257" s="14">
        <v>1817</v>
      </c>
      <c r="C257" s="18">
        <v>276900000</v>
      </c>
      <c r="D257" s="23"/>
    </row>
  </sheetData>
  <mergeCells count="25">
    <mergeCell ref="A41:D41"/>
    <mergeCell ref="A2:D2"/>
    <mergeCell ref="A3:D3"/>
    <mergeCell ref="A4:D4"/>
    <mergeCell ref="A170:D170"/>
    <mergeCell ref="A171:D171"/>
    <mergeCell ref="A172:D172"/>
    <mergeCell ref="A129:D129"/>
    <mergeCell ref="A42:D42"/>
    <mergeCell ref="A43:D43"/>
    <mergeCell ref="A84:D84"/>
    <mergeCell ref="A85:D85"/>
    <mergeCell ref="A86:D86"/>
    <mergeCell ref="A127:D127"/>
    <mergeCell ref="A128:D128"/>
    <mergeCell ref="A202:D202"/>
    <mergeCell ref="A203:D203"/>
    <mergeCell ref="A204:D204"/>
    <mergeCell ref="A205:D205"/>
    <mergeCell ref="A206:D206"/>
    <mergeCell ref="A229:D229"/>
    <mergeCell ref="A230:D230"/>
    <mergeCell ref="A231:D231"/>
    <mergeCell ref="A232:D232"/>
    <mergeCell ref="A233:D233"/>
  </mergeCells>
  <pageMargins left="0.708661417322835" right="0.708661417322835" top="0.748031496062992" bottom="0.748031496062992" header="0.31496062992126" footer="0.31496062992126"/>
  <pageSetup horizontalDpi="300" verticalDpi="300"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