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RUM\STATISTIK 2024\BDD 2023\DATA MASUK 2023\"/>
    </mc:Choice>
  </mc:AlternateContent>
  <xr:revisionPtr revIDLastSave="0" documentId="13_ncr:1_{8E2440EA-8C43-4384-8AF2-F15D25DD0BA2}" xr6:coauthVersionLast="47" xr6:coauthVersionMax="47" xr10:uidLastSave="{00000000-0000-0000-0000-000000000000}"/>
  <bookViews>
    <workbookView xWindow="-110" yWindow="-110" windowWidth="19420" windowHeight="10300" firstSheet="14" activeTab="15" xr2:uid="{00000000-000D-0000-FFFF-FFFF00000000}"/>
  </bookViews>
  <sheets>
    <sheet name="hsl tngkapn laut mnrt TPI" sheetId="19" r:id="rId1"/>
    <sheet name="hsl tngkapn laut mnrt Kecamatan" sheetId="2" r:id="rId2"/>
    <sheet name="  hasil tangkapan laut mnrt bln" sheetId="1" r:id="rId3"/>
    <sheet name="luas &amp; prod tambak mnrt kec" sheetId="4" r:id="rId4"/>
    <sheet name="pro&amp;nilai prknnn tmbak mnrt bln" sheetId="15" r:id="rId5"/>
    <sheet name="luas &amp; prod kolam mnrt kec" sheetId="5" r:id="rId6"/>
    <sheet name="prod&amp;nilai prknn kolam mnrt bln" sheetId="13" r:id="rId7"/>
    <sheet name="prod&amp; nilai prknn waduk per bln" sheetId="6" r:id="rId8"/>
    <sheet name="prod&amp;nilai prknn waduk per kec" sheetId="16" r:id="rId9"/>
    <sheet name="prod&amp;nilai prknn sungai per Kec" sheetId="17" r:id="rId10"/>
    <sheet name="prod&amp; nilai prknn sungai perbln" sheetId="18" r:id="rId11"/>
    <sheet name="prod &amp; nilai rmpt laut mnrt kec" sheetId="8" r:id="rId12"/>
    <sheet name="prod &amp; nilai rumpt laut per bln" sheetId="7" r:id="rId13"/>
    <sheet name="prod &amp; nilai grm rakyat per kec" sheetId="10" r:id="rId14"/>
    <sheet name="prod&amp;nilai garm rakyat mnrt bln" sheetId="9" r:id="rId15"/>
    <sheet name="alat tangkap mnrt jenis di PPI" sheetId="11" r:id="rId16"/>
  </sheets>
  <externalReferences>
    <externalReference r:id="rId17"/>
    <externalReference r:id="rId18"/>
    <externalReference r:id="rId19"/>
    <externalReference r:id="rId20"/>
    <externalReference r:id="rId21"/>
  </externalReferences>
  <definedNames>
    <definedName name="_GoBack" localSheetId="14">'prod&amp;nilai garm rakyat mnrt bln'!$C$6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7" l="1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C20" i="7" s="1"/>
  <c r="B8" i="7"/>
  <c r="B20" i="7" s="1"/>
  <c r="C24" i="8"/>
  <c r="B24" i="8"/>
  <c r="C17" i="8"/>
  <c r="C25" i="8" s="1"/>
  <c r="B17" i="8"/>
  <c r="B25" i="8" s="1"/>
  <c r="C18" i="13"/>
  <c r="B18" i="13"/>
  <c r="C17" i="13"/>
  <c r="B17" i="13"/>
  <c r="C16" i="13"/>
  <c r="B16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9" i="13"/>
  <c r="B9" i="13"/>
  <c r="C8" i="13"/>
  <c r="B8" i="13"/>
  <c r="C7" i="13"/>
  <c r="B7" i="13"/>
  <c r="C23" i="5"/>
  <c r="B23" i="5"/>
  <c r="B22" i="5"/>
  <c r="B21" i="5"/>
  <c r="C20" i="5"/>
  <c r="B20" i="5"/>
  <c r="B19" i="5"/>
  <c r="C18" i="5"/>
  <c r="B18" i="5"/>
  <c r="B17" i="5"/>
  <c r="B16" i="5"/>
  <c r="C15" i="5"/>
  <c r="B15" i="5"/>
  <c r="B14" i="5"/>
  <c r="C13" i="5"/>
  <c r="B13" i="5"/>
  <c r="B12" i="5"/>
  <c r="C11" i="5"/>
  <c r="B11" i="5"/>
  <c r="B10" i="5"/>
  <c r="B9" i="5"/>
  <c r="B8" i="5"/>
  <c r="B7" i="5"/>
  <c r="C18" i="15"/>
  <c r="B18" i="15"/>
  <c r="C17" i="15"/>
  <c r="B17" i="15"/>
  <c r="C16" i="15"/>
  <c r="B16" i="15"/>
  <c r="C15" i="15"/>
  <c r="B15" i="15"/>
  <c r="C14" i="15"/>
  <c r="B14" i="15"/>
  <c r="C13" i="15"/>
  <c r="B13" i="15"/>
  <c r="C12" i="15"/>
  <c r="B12" i="15"/>
  <c r="C11" i="15"/>
  <c r="B11" i="15"/>
  <c r="C10" i="15"/>
  <c r="B10" i="15"/>
  <c r="C9" i="15"/>
  <c r="B9" i="15"/>
  <c r="C8" i="15"/>
  <c r="B8" i="15"/>
  <c r="C7" i="15"/>
  <c r="C19" i="15" s="1"/>
  <c r="B7" i="15"/>
  <c r="B19" i="15" s="1"/>
  <c r="B24" i="4"/>
  <c r="C23" i="4"/>
  <c r="C20" i="4"/>
  <c r="C19" i="4"/>
  <c r="C17" i="4"/>
  <c r="C16" i="4"/>
  <c r="C24" i="4" s="1"/>
  <c r="B19" i="13" l="1"/>
  <c r="B24" i="5"/>
  <c r="C24" i="5"/>
  <c r="C19" i="13"/>
  <c r="C14" i="19"/>
  <c r="C12" i="19"/>
  <c r="C11" i="19"/>
  <c r="C10" i="19"/>
  <c r="C9" i="19"/>
  <c r="C8" i="19"/>
  <c r="C20" i="2"/>
  <c r="C24" i="2"/>
  <c r="C21" i="2"/>
  <c r="C18" i="2"/>
  <c r="C17" i="2"/>
  <c r="B18" i="2"/>
  <c r="B24" i="2"/>
  <c r="B21" i="2"/>
  <c r="B20" i="2"/>
  <c r="B17" i="2" l="1"/>
  <c r="B25" i="2" l="1"/>
  <c r="C25" i="2"/>
  <c r="A21" i="19" l="1"/>
  <c r="A22" i="19" s="1"/>
  <c r="A23" i="19" s="1"/>
  <c r="A24" i="19" s="1"/>
  <c r="B7" i="1"/>
  <c r="B20" i="19" l="1"/>
  <c r="C20" i="19"/>
  <c r="C18" i="1"/>
  <c r="C17" i="1"/>
  <c r="C16" i="1"/>
  <c r="C15" i="1"/>
  <c r="C14" i="1"/>
  <c r="C13" i="1"/>
  <c r="C12" i="1"/>
  <c r="C11" i="1"/>
  <c r="C10" i="1"/>
  <c r="C9" i="1"/>
  <c r="C8" i="1"/>
  <c r="C7" i="1"/>
  <c r="J24" i="11"/>
  <c r="J23" i="11"/>
  <c r="I22" i="11"/>
  <c r="H22" i="11"/>
  <c r="G22" i="11"/>
  <c r="F22" i="11"/>
  <c r="D22" i="11"/>
  <c r="C22" i="11"/>
  <c r="I21" i="11"/>
  <c r="H21" i="11"/>
  <c r="G21" i="11"/>
  <c r="F21" i="11"/>
  <c r="D21" i="11"/>
  <c r="C21" i="11"/>
  <c r="I20" i="11"/>
  <c r="H20" i="11"/>
  <c r="G20" i="11"/>
  <c r="F20" i="11"/>
  <c r="D20" i="11"/>
  <c r="C20" i="11"/>
  <c r="J19" i="11"/>
  <c r="J18" i="11"/>
  <c r="J17" i="11"/>
  <c r="J16" i="11"/>
  <c r="J15" i="11"/>
  <c r="J14" i="11"/>
  <c r="E13" i="11"/>
  <c r="J13" i="11" s="1"/>
  <c r="J12" i="11"/>
  <c r="J11" i="11"/>
  <c r="E10" i="11"/>
  <c r="J10" i="11" s="1"/>
  <c r="E9" i="11"/>
  <c r="J9" i="11" s="1"/>
  <c r="J8" i="11"/>
  <c r="E20" i="11" l="1"/>
  <c r="J20" i="11" s="1"/>
  <c r="E21" i="11"/>
  <c r="J21" i="11" s="1"/>
  <c r="E22" i="11"/>
  <c r="J22" i="11" s="1"/>
  <c r="B23" i="9" l="1"/>
  <c r="B24" i="9"/>
  <c r="B22" i="9"/>
  <c r="C24" i="9"/>
  <c r="C23" i="9"/>
  <c r="C22" i="9"/>
  <c r="C21" i="9"/>
  <c r="B21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29" i="10"/>
  <c r="C28" i="10"/>
  <c r="C27" i="10"/>
  <c r="C26" i="10"/>
  <c r="B26" i="10"/>
  <c r="C24" i="10"/>
  <c r="B24" i="10"/>
  <c r="C21" i="10"/>
  <c r="B21" i="10"/>
  <c r="C20" i="10"/>
  <c r="B20" i="10"/>
  <c r="C18" i="10"/>
  <c r="B18" i="10"/>
  <c r="C17" i="10"/>
  <c r="B17" i="10"/>
  <c r="C20" i="9" l="1"/>
  <c r="C25" i="10"/>
  <c r="B20" i="9"/>
  <c r="B25" i="10"/>
  <c r="C11" i="17"/>
  <c r="C18" i="18"/>
  <c r="C17" i="18"/>
  <c r="C16" i="18"/>
  <c r="C15" i="18"/>
  <c r="C14" i="18"/>
  <c r="C13" i="18"/>
  <c r="C12" i="18"/>
  <c r="C11" i="18"/>
  <c r="C10" i="18"/>
  <c r="C9" i="18"/>
  <c r="C8" i="18"/>
  <c r="C7" i="18"/>
  <c r="C18" i="6"/>
  <c r="C17" i="6"/>
  <c r="C16" i="6"/>
  <c r="C15" i="6"/>
  <c r="C14" i="6"/>
  <c r="C13" i="6"/>
  <c r="C12" i="6"/>
  <c r="C11" i="6"/>
  <c r="C10" i="6"/>
  <c r="C9" i="6"/>
  <c r="C8" i="6"/>
  <c r="C7" i="6"/>
  <c r="C16" i="16"/>
  <c r="C11" i="16"/>
  <c r="B18" i="18" l="1"/>
  <c r="B17" i="18"/>
  <c r="B16" i="18"/>
  <c r="B15" i="18"/>
  <c r="B14" i="18"/>
  <c r="B13" i="18"/>
  <c r="B12" i="18"/>
  <c r="B11" i="18"/>
  <c r="B10" i="18"/>
  <c r="B9" i="18"/>
  <c r="B8" i="18"/>
  <c r="B7" i="18"/>
  <c r="C25" i="17"/>
  <c r="B11" i="17"/>
  <c r="B25" i="17" s="1"/>
  <c r="A20" i="18"/>
  <c r="A21" i="18" s="1"/>
  <c r="A22" i="18" s="1"/>
  <c r="A23" i="18" s="1"/>
  <c r="A27" i="17"/>
  <c r="A28" i="17" s="1"/>
  <c r="A29" i="17" s="1"/>
  <c r="A26" i="17"/>
  <c r="C25" i="16"/>
  <c r="B11" i="16"/>
  <c r="B25" i="16" s="1"/>
  <c r="B16" i="16"/>
  <c r="C19" i="6"/>
  <c r="B18" i="6"/>
  <c r="B17" i="6"/>
  <c r="B16" i="6"/>
  <c r="B15" i="6"/>
  <c r="B13" i="6"/>
  <c r="B14" i="6"/>
  <c r="B12" i="6"/>
  <c r="B10" i="6"/>
  <c r="B11" i="6"/>
  <c r="B9" i="6"/>
  <c r="B8" i="6"/>
  <c r="B7" i="6"/>
  <c r="B19" i="6" l="1"/>
  <c r="C19" i="18"/>
  <c r="B19" i="18"/>
  <c r="B18" i="1" l="1"/>
  <c r="B17" i="1"/>
  <c r="B16" i="1"/>
  <c r="B15" i="1"/>
  <c r="B14" i="1"/>
  <c r="B13" i="1"/>
  <c r="B12" i="1"/>
  <c r="B11" i="1"/>
  <c r="B10" i="1"/>
  <c r="B9" i="1"/>
  <c r="B8" i="1"/>
  <c r="B19" i="1" l="1"/>
  <c r="C19" i="1"/>
  <c r="A21" i="9" l="1"/>
  <c r="A22" i="9" s="1"/>
  <c r="A23" i="9" s="1"/>
  <c r="A24" i="9" s="1"/>
  <c r="A26" i="10"/>
  <c r="A27" i="10" s="1"/>
  <c r="A28" i="10" s="1"/>
  <c r="A29" i="10" s="1"/>
  <c r="A21" i="7"/>
  <c r="A22" i="7" s="1"/>
  <c r="A23" i="7" s="1"/>
  <c r="A24" i="7" s="1"/>
  <c r="A27" i="8"/>
  <c r="A28" i="8"/>
  <c r="A29" i="8" s="1"/>
  <c r="A26" i="8"/>
  <c r="A20" i="6"/>
  <c r="A21" i="6" s="1"/>
  <c r="A22" i="6" s="1"/>
  <c r="A23" i="6" s="1"/>
  <c r="A27" i="16"/>
  <c r="A28" i="16" s="1"/>
  <c r="A29" i="16" s="1"/>
  <c r="A26" i="16"/>
  <c r="A20" i="13"/>
  <c r="A21" i="13" s="1"/>
  <c r="A22" i="13" s="1"/>
  <c r="A23" i="13" s="1"/>
  <c r="A25" i="5"/>
  <c r="A26" i="5" s="1"/>
  <c r="A27" i="5" s="1"/>
  <c r="A28" i="5" s="1"/>
  <c r="A20" i="15"/>
  <c r="A21" i="15" s="1"/>
  <c r="A22" i="15" s="1"/>
  <c r="A23" i="15" s="1"/>
  <c r="A25" i="4"/>
  <c r="A26" i="4" s="1"/>
  <c r="A27" i="4" s="1"/>
  <c r="A28" i="4" s="1"/>
  <c r="A21" i="1"/>
  <c r="A22" i="1" s="1"/>
  <c r="A23" i="1" s="1"/>
  <c r="A20" i="1"/>
  <c r="A26" i="2"/>
  <c r="A27" i="2" s="1"/>
  <c r="A28" i="2" s="1"/>
  <c r="A29" i="2" s="1"/>
  <c r="A22" i="11"/>
  <c r="A23" i="11" s="1"/>
  <c r="A24" i="11" s="1"/>
  <c r="A21" i="11"/>
</calcChain>
</file>

<file path=xl/sharedStrings.xml><?xml version="1.0" encoding="utf-8"?>
<sst xmlns="http://schemas.openxmlformats.org/spreadsheetml/2006/main" count="368" uniqueCount="110">
  <si>
    <t>Tabel</t>
  </si>
  <si>
    <t>Bulan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</si>
  <si>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</si>
  <si>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</si>
  <si>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</si>
  <si>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</si>
  <si>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</si>
  <si>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</si>
  <si>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</si>
  <si>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</si>
  <si>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</si>
  <si>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</si>
  <si>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</si>
  <si>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</si>
  <si>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1</t>
  </si>
  <si>
    <t>2</t>
  </si>
  <si>
    <t>3</t>
  </si>
  <si>
    <t>Banyaknya Produksi dan Nilai Produksi Hasil Tangkapan Laut</t>
  </si>
  <si>
    <t>01. SAWOJAJAR</t>
  </si>
  <si>
    <t>02. PULOLAMPES</t>
  </si>
  <si>
    <t>03. KLUWUT</t>
  </si>
  <si>
    <t>04. PENGARADAN</t>
  </si>
  <si>
    <t>05. KRAKAHAN</t>
  </si>
  <si>
    <t>06. KALIGANGSA</t>
  </si>
  <si>
    <t>07. KALIWLINGI</t>
  </si>
  <si>
    <t>08. PRAPAG KIDUL</t>
  </si>
  <si>
    <t>09. PRAPAG LOR</t>
  </si>
  <si>
    <t>10. KARANGDEMPEL</t>
  </si>
  <si>
    <t>11. GRINTING</t>
  </si>
  <si>
    <t>12. PESANTUNAN</t>
  </si>
  <si>
    <t>Banyaknya Produksi (Kg)</t>
  </si>
  <si>
    <t>Nilai Produksi    (Ribu Rupiah)</t>
  </si>
  <si>
    <t>Sumber: Dinas Perikanan Kab.Brebes</t>
  </si>
  <si>
    <t>*) Berdasarkan Hasil Ikan yang Dilelang dan Tidak Dilelang Di TPI</t>
  </si>
  <si>
    <t>Nilai Produksi           (Ribu Rupiah)</t>
  </si>
  <si>
    <t>Nilai Produksi (Ribu Rupiah)</t>
  </si>
  <si>
    <t>Nilai Produksi      (Ribu Rupiah)</t>
  </si>
  <si>
    <t>Kecamatan</t>
  </si>
  <si>
    <t>Luas (Ha)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</si>
  <si>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</si>
  <si>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</si>
  <si>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</si>
  <si>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</si>
  <si>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</si>
  <si>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</si>
  <si>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</si>
  <si>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</si>
  <si>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</si>
  <si>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</si>
  <si>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</si>
  <si>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</si>
  <si>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</si>
  <si>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</si>
  <si>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</si>
  <si>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</si>
  <si>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</si>
  <si>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Sumber: Dinas  Perikanan Kab.Brebes</t>
  </si>
  <si>
    <t>Luas dan Banyaknya Produksi Perikanan Tambak</t>
  </si>
  <si>
    <t>Produksi (Kg)</t>
  </si>
  <si>
    <t>Luas dan Banyaknya Produksi Perikanan Kolam</t>
  </si>
  <si>
    <t>BULAN</t>
  </si>
  <si>
    <t>Banyaknya Produksi dan Nilai Produksi Perikanan Waduk</t>
  </si>
  <si>
    <t>Banyaknya Produksi (Ton)</t>
  </si>
  <si>
    <t>Banyaknya Produksi dan Nilai Produksi Perikanan Rumput Laut</t>
  </si>
  <si>
    <t>NilaiProduksi        (Ribu Rupiah)</t>
  </si>
  <si>
    <t>NilaiProduksi       (Ribu Rupiah)</t>
  </si>
  <si>
    <t>Banyak Produksi (Ton)</t>
  </si>
  <si>
    <t>Banyaknya Produksi dan Nilai Produksi Rumput Laut</t>
  </si>
  <si>
    <t>Banyaknya Produksi dan Nilai Produksi Garam Rakyat</t>
  </si>
  <si>
    <t>Banyaknya Produksi (ton)</t>
  </si>
  <si>
    <t>AlatTangkap</t>
  </si>
  <si>
    <t>Jumlah</t>
  </si>
  <si>
    <t>Arad</t>
  </si>
  <si>
    <t>Giil net</t>
  </si>
  <si>
    <t>Trammelnet</t>
  </si>
  <si>
    <t>Kejer</t>
  </si>
  <si>
    <t>01. Kaligangsa</t>
  </si>
  <si>
    <t>02. Kaliwlingi</t>
  </si>
  <si>
    <t>03. Pesantunan</t>
  </si>
  <si>
    <t>04. Sawojajar</t>
  </si>
  <si>
    <t>05. Pulolampes</t>
  </si>
  <si>
    <t>06. Kluwut</t>
  </si>
  <si>
    <t>07. Grinting</t>
  </si>
  <si>
    <t>08. Krakahan</t>
  </si>
  <si>
    <t>09. Pengaradan</t>
  </si>
  <si>
    <t>10. Karangdempel</t>
  </si>
  <si>
    <t>11. PrapagLor</t>
  </si>
  <si>
    <t>12. PrapagKidul</t>
  </si>
  <si>
    <t>Pangkalan Pendaratan Ikan</t>
  </si>
  <si>
    <t>Banyaknya Alat Tangkap Menurut Jenisnya</t>
  </si>
  <si>
    <t>Banyaknya Produksi dan Nilai Produksi Perikanan Kolam</t>
  </si>
  <si>
    <t>Banyaknya Produksi dan Nilai Produksi Hasil Perikanan Tambak</t>
  </si>
  <si>
    <t>Banyaknya Produksi dan Nilai Perikanan Waduk</t>
  </si>
  <si>
    <t>Lainnya</t>
  </si>
  <si>
    <t>Menurut Bulan di Kabupaten Brebes Tahun 2023</t>
  </si>
  <si>
    <t>Menurut Kecamatan di Kabupaten Brebes Tahun 2023</t>
  </si>
  <si>
    <t>Banyaknya Produksi dan Nilai Produksi Perikanan Sungai</t>
  </si>
  <si>
    <t>Banyaknya Produksi dan Nilai Perikanan Sungai</t>
  </si>
  <si>
    <t>-</t>
  </si>
  <si>
    <t>SAWOJAJAR, PESANTUNAN, KERTABESUKI</t>
  </si>
  <si>
    <t>KALIWINGI, KEDUNGUTER, RANDUSANGA KULON</t>
  </si>
  <si>
    <t>PULOLAMPES, KLUWUT, GRINTING</t>
  </si>
  <si>
    <t>KRAKAHAN, PENGARADAN</t>
  </si>
  <si>
    <t>PRAPAG KIDUL, PRAPAG LOR, KARANGDEMPEL</t>
  </si>
  <si>
    <t>Tempat Pelelangan Ikan</t>
  </si>
  <si>
    <t>Menurut Tempat Pelelangan Ikan di Kabupaten Brebes Tahun 2023</t>
  </si>
  <si>
    <t>Jaring Tarik Berkantong</t>
  </si>
  <si>
    <t>MPS (Mini Purse Seine)</t>
  </si>
  <si>
    <t>di Pangkalan Pendaratan Ikan (PPI) Di Kabupaten Brebes Tahun 2023</t>
  </si>
  <si>
    <t>Banyak Produksi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</si>
</sst>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0_);_(* \(#,##0.00\);_(* &quot;-&quot;_);_(@_)"/>
    <numFmt numFmtId="168" formatCode="_(* #,##0.000_);_(* \(#,##0.000\);_(* &quot;-&quot;??_);_(@_)"/>
    <numFmt numFmtId="169" formatCode="_(* #,##0.0_);_(* \(#,##0.0\);_(* &quot;-&quot;_);_(@_)"/>
    <numFmt numFmtId="170" formatCode="_(* #,##0.0_);_(* \(#,##0.0\);_(* &quot;-&quot;??_);_(@_)"/>
  </numFmts>
  <fonts count="1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 "/>
    </font>
    <font>
      <sz val="11"/>
      <color theme="0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7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/>
    </xf>
    <xf numFmtId="0" fontId="5" fillId="2" borderId="4" xfId="0" quotePrefix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0" borderId="3" xfId="0" applyFont="1" applyBorder="1"/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/>
    <xf numFmtId="0" fontId="8" fillId="0" borderId="0" xfId="0" applyFont="1"/>
    <xf numFmtId="3" fontId="5" fillId="0" borderId="4" xfId="0" applyNumberFormat="1" applyFont="1" applyBorder="1"/>
    <xf numFmtId="166" fontId="5" fillId="0" borderId="4" xfId="2" applyNumberFormat="1" applyFont="1" applyBorder="1"/>
    <xf numFmtId="166" fontId="0" fillId="0" borderId="0" xfId="2" applyNumberFormat="1" applyFont="1"/>
    <xf numFmtId="166" fontId="12" fillId="0" borderId="0" xfId="2" applyNumberFormat="1" applyFont="1"/>
    <xf numFmtId="0" fontId="12" fillId="0" borderId="0" xfId="0" applyFont="1"/>
    <xf numFmtId="164" fontId="6" fillId="2" borderId="14" xfId="1" applyFont="1" applyFill="1" applyBorder="1" applyAlignment="1">
      <alignment horizontal="right"/>
    </xf>
    <xf numFmtId="0" fontId="5" fillId="2" borderId="11" xfId="0" quotePrefix="1" applyFont="1" applyFill="1" applyBorder="1" applyAlignment="1">
      <alignment horizontal="center"/>
    </xf>
    <xf numFmtId="0" fontId="2" fillId="0" borderId="0" xfId="0" applyFont="1"/>
    <xf numFmtId="164" fontId="6" fillId="0" borderId="4" xfId="1" applyFont="1" applyFill="1" applyBorder="1" applyAlignment="1">
      <alignment horizontal="right"/>
    </xf>
    <xf numFmtId="0" fontId="5" fillId="0" borderId="11" xfId="0" applyFont="1" applyBorder="1"/>
    <xf numFmtId="41" fontId="6" fillId="0" borderId="4" xfId="0" applyNumberFormat="1" applyFont="1" applyBorder="1" applyAlignment="1">
      <alignment horizontal="right"/>
    </xf>
    <xf numFmtId="164" fontId="6" fillId="0" borderId="4" xfId="1" applyFont="1" applyBorder="1" applyAlignment="1">
      <alignment horizontal="right"/>
    </xf>
    <xf numFmtId="164" fontId="5" fillId="0" borderId="4" xfId="1" applyFont="1" applyBorder="1" applyAlignment="1">
      <alignment horizontal="right"/>
    </xf>
    <xf numFmtId="164" fontId="5" fillId="0" borderId="4" xfId="1" applyFont="1" applyBorder="1"/>
    <xf numFmtId="164" fontId="5" fillId="0" borderId="4" xfId="1" applyFont="1" applyFill="1" applyBorder="1" applyAlignment="1">
      <alignment horizontal="right"/>
    </xf>
    <xf numFmtId="166" fontId="5" fillId="0" borderId="4" xfId="2" applyNumberFormat="1" applyFont="1" applyFill="1" applyBorder="1" applyAlignment="1">
      <alignment horizontal="right"/>
    </xf>
    <xf numFmtId="167" fontId="5" fillId="0" borderId="4" xfId="1" applyNumberFormat="1" applyFont="1" applyBorder="1"/>
    <xf numFmtId="167" fontId="5" fillId="0" borderId="4" xfId="1" applyNumberFormat="1" applyFont="1" applyFill="1" applyBorder="1" applyAlignment="1">
      <alignment horizontal="right"/>
    </xf>
    <xf numFmtId="164" fontId="5" fillId="0" borderId="5" xfId="3" applyFont="1" applyFill="1" applyBorder="1" applyAlignment="1">
      <alignment horizontal="right"/>
    </xf>
    <xf numFmtId="166" fontId="13" fillId="0" borderId="4" xfId="4" applyNumberFormat="1" applyFont="1" applyFill="1" applyBorder="1"/>
    <xf numFmtId="164" fontId="5" fillId="0" borderId="1" xfId="3" applyFont="1" applyFill="1" applyBorder="1" applyAlignment="1">
      <alignment horizontal="right"/>
    </xf>
    <xf numFmtId="167" fontId="5" fillId="0" borderId="4" xfId="2" applyNumberFormat="1" applyFont="1" applyBorder="1"/>
    <xf numFmtId="165" fontId="14" fillId="0" borderId="1" xfId="2" applyFont="1" applyBorder="1"/>
    <xf numFmtId="166" fontId="13" fillId="0" borderId="1" xfId="2" applyNumberFormat="1" applyFont="1" applyFill="1" applyBorder="1" applyAlignment="1"/>
    <xf numFmtId="167" fontId="12" fillId="0" borderId="21" xfId="1" applyNumberFormat="1" applyFont="1" applyBorder="1"/>
    <xf numFmtId="167" fontId="12" fillId="0" borderId="10" xfId="1" applyNumberFormat="1" applyFont="1" applyBorder="1"/>
    <xf numFmtId="167" fontId="12" fillId="0" borderId="1" xfId="1" applyNumberFormat="1" applyFont="1" applyBorder="1"/>
    <xf numFmtId="164" fontId="12" fillId="0" borderId="1" xfId="1" applyFont="1" applyBorder="1"/>
    <xf numFmtId="167" fontId="12" fillId="0" borderId="18" xfId="1" applyNumberFormat="1" applyFont="1" applyBorder="1"/>
    <xf numFmtId="167" fontId="12" fillId="0" borderId="15" xfId="1" applyNumberFormat="1" applyFont="1" applyBorder="1"/>
    <xf numFmtId="167" fontId="12" fillId="0" borderId="5" xfId="1" applyNumberFormat="1" applyFont="1" applyBorder="1"/>
    <xf numFmtId="164" fontId="12" fillId="0" borderId="6" xfId="1" applyFont="1" applyBorder="1"/>
    <xf numFmtId="168" fontId="6" fillId="0" borderId="1" xfId="2" applyNumberFormat="1" applyFont="1" applyFill="1" applyBorder="1" applyAlignment="1">
      <alignment horizontal="right"/>
    </xf>
    <xf numFmtId="168" fontId="6" fillId="0" borderId="4" xfId="2" applyNumberFormat="1" applyFont="1" applyFill="1" applyBorder="1" applyAlignment="1">
      <alignment horizontal="right"/>
    </xf>
    <xf numFmtId="168" fontId="6" fillId="0" borderId="11" xfId="2" applyNumberFormat="1" applyFont="1" applyFill="1" applyBorder="1" applyAlignment="1">
      <alignment horizontal="right"/>
    </xf>
    <xf numFmtId="165" fontId="13" fillId="0" borderId="1" xfId="0" applyNumberFormat="1" applyFont="1" applyBorder="1"/>
    <xf numFmtId="167" fontId="13" fillId="0" borderId="18" xfId="1" applyNumberFormat="1" applyFont="1" applyBorder="1"/>
    <xf numFmtId="165" fontId="5" fillId="0" borderId="1" xfId="2" applyFont="1" applyBorder="1"/>
    <xf numFmtId="165" fontId="5" fillId="0" borderId="4" xfId="2" applyFont="1" applyBorder="1"/>
    <xf numFmtId="169" fontId="6" fillId="0" borderId="4" xfId="1" applyNumberFormat="1" applyFont="1" applyBorder="1" applyAlignment="1">
      <alignment horizontal="right"/>
    </xf>
    <xf numFmtId="169" fontId="6" fillId="0" borderId="4" xfId="1" applyNumberFormat="1" applyFont="1" applyBorder="1" applyAlignment="1"/>
    <xf numFmtId="169" fontId="6" fillId="0" borderId="1" xfId="1" applyNumberFormat="1" applyFont="1" applyBorder="1" applyAlignment="1"/>
    <xf numFmtId="169" fontId="12" fillId="3" borderId="1" xfId="1" applyNumberFormat="1" applyFont="1" applyFill="1" applyBorder="1" applyAlignment="1">
      <alignment horizontal="right" wrapText="1"/>
    </xf>
    <xf numFmtId="169" fontId="6" fillId="0" borderId="1" xfId="1" applyNumberFormat="1" applyFont="1" applyBorder="1" applyAlignment="1">
      <alignment horizontal="right"/>
    </xf>
    <xf numFmtId="169" fontId="12" fillId="0" borderId="1" xfId="1" applyNumberFormat="1" applyFont="1" applyBorder="1"/>
    <xf numFmtId="167" fontId="5" fillId="0" borderId="11" xfId="1" applyNumberFormat="1" applyFont="1" applyBorder="1" applyAlignment="1">
      <alignment horizontal="right"/>
    </xf>
    <xf numFmtId="169" fontId="5" fillId="0" borderId="11" xfId="1" applyNumberFormat="1" applyFont="1" applyBorder="1" applyAlignment="1">
      <alignment horizontal="right"/>
    </xf>
    <xf numFmtId="167" fontId="13" fillId="0" borderId="15" xfId="1" applyNumberFormat="1" applyFont="1" applyBorder="1"/>
    <xf numFmtId="169" fontId="13" fillId="0" borderId="1" xfId="1" applyNumberFormat="1" applyFont="1" applyBorder="1"/>
    <xf numFmtId="167" fontId="5" fillId="0" borderId="1" xfId="1" applyNumberFormat="1" applyFont="1" applyBorder="1"/>
    <xf numFmtId="169" fontId="5" fillId="0" borderId="1" xfId="1" applyNumberFormat="1" applyFont="1" applyBorder="1"/>
    <xf numFmtId="169" fontId="5" fillId="0" borderId="4" xfId="1" applyNumberFormat="1" applyFont="1" applyFill="1" applyBorder="1" applyAlignment="1">
      <alignment horizontal="right"/>
    </xf>
    <xf numFmtId="164" fontId="5" fillId="0" borderId="1" xfId="1" applyFont="1" applyBorder="1"/>
    <xf numFmtId="167" fontId="6" fillId="0" borderId="4" xfId="1" applyNumberFormat="1" applyFont="1" applyBorder="1" applyAlignment="1"/>
    <xf numFmtId="167" fontId="12" fillId="0" borderId="13" xfId="1" applyNumberFormat="1" applyFont="1" applyBorder="1" applyAlignment="1">
      <alignment wrapText="1"/>
    </xf>
    <xf numFmtId="167" fontId="12" fillId="0" borderId="1" xfId="1" applyNumberFormat="1" applyFont="1" applyBorder="1" applyAlignment="1"/>
    <xf numFmtId="170" fontId="6" fillId="0" borderId="1" xfId="2" applyNumberFormat="1" applyFont="1" applyFill="1" applyBorder="1" applyAlignment="1">
      <alignment horizontal="right"/>
    </xf>
    <xf numFmtId="170" fontId="6" fillId="0" borderId="4" xfId="2" applyNumberFormat="1" applyFont="1" applyFill="1" applyBorder="1" applyAlignment="1">
      <alignment horizontal="right"/>
    </xf>
    <xf numFmtId="170" fontId="12" fillId="0" borderId="1" xfId="1" applyNumberFormat="1" applyFont="1" applyBorder="1"/>
    <xf numFmtId="170" fontId="12" fillId="0" borderId="2" xfId="1" applyNumberFormat="1" applyFont="1" applyBorder="1"/>
    <xf numFmtId="170" fontId="6" fillId="0" borderId="11" xfId="2" applyNumberFormat="1" applyFont="1" applyFill="1" applyBorder="1" applyAlignment="1">
      <alignment horizontal="right"/>
    </xf>
    <xf numFmtId="170" fontId="13" fillId="0" borderId="1" xfId="0" applyNumberFormat="1" applyFont="1" applyBorder="1"/>
    <xf numFmtId="170" fontId="13" fillId="0" borderId="5" xfId="1" applyNumberFormat="1" applyFont="1" applyBorder="1"/>
    <xf numFmtId="170" fontId="5" fillId="0" borderId="1" xfId="2" applyNumberFormat="1" applyFont="1" applyBorder="1"/>
    <xf numFmtId="170" fontId="5" fillId="0" borderId="4" xfId="2" applyNumberFormat="1" applyFont="1" applyBorder="1"/>
    <xf numFmtId="170" fontId="5" fillId="0" borderId="4" xfId="1" applyNumberFormat="1" applyFont="1" applyFill="1" applyBorder="1" applyAlignment="1">
      <alignment horizontal="right"/>
    </xf>
    <xf numFmtId="164" fontId="5" fillId="0" borderId="15" xfId="1" applyFont="1" applyFill="1" applyBorder="1"/>
    <xf numFmtId="164" fontId="13" fillId="0" borderId="1" xfId="1" applyFont="1" applyFill="1" applyBorder="1"/>
    <xf numFmtId="164" fontId="5" fillId="0" borderId="5" xfId="1" applyFont="1" applyFill="1" applyBorder="1" applyAlignment="1">
      <alignment horizontal="right"/>
    </xf>
    <xf numFmtId="164" fontId="13" fillId="0" borderId="22" xfId="1" applyFont="1" applyFill="1" applyBorder="1" applyAlignment="1">
      <alignment horizontal="right"/>
    </xf>
    <xf numFmtId="164" fontId="13" fillId="0" borderId="15" xfId="1" applyFont="1" applyBorder="1"/>
    <xf numFmtId="164" fontId="13" fillId="0" borderId="1" xfId="1" applyFont="1" applyFill="1" applyBorder="1" applyAlignment="1">
      <alignment horizontal="right"/>
    </xf>
    <xf numFmtId="164" fontId="13" fillId="0" borderId="10" xfId="1" applyFont="1" applyFill="1" applyBorder="1" applyAlignment="1">
      <alignment horizontal="right"/>
    </xf>
    <xf numFmtId="164" fontId="13" fillId="0" borderId="15" xfId="1" applyFont="1" applyFill="1" applyBorder="1" applyAlignment="1">
      <alignment horizontal="right"/>
    </xf>
    <xf numFmtId="164" fontId="5" fillId="0" borderId="1" xfId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164" fontId="5" fillId="0" borderId="0" xfId="1" applyFont="1" applyFill="1" applyBorder="1" applyAlignment="1">
      <alignment horizontal="right"/>
    </xf>
    <xf numFmtId="164" fontId="13" fillId="0" borderId="0" xfId="1" applyFont="1" applyFill="1" applyBorder="1" applyAlignment="1">
      <alignment horizontal="right"/>
    </xf>
    <xf numFmtId="164" fontId="12" fillId="0" borderId="17" xfId="1" applyFont="1" applyBorder="1"/>
    <xf numFmtId="164" fontId="12" fillId="0" borderId="5" xfId="1" applyFont="1" applyBorder="1"/>
    <xf numFmtId="164" fontId="11" fillId="0" borderId="4" xfId="1" applyFont="1" applyBorder="1" applyAlignment="1">
      <alignment horizontal="right"/>
    </xf>
    <xf numFmtId="0" fontId="6" fillId="0" borderId="3" xfId="0" quotePrefix="1" applyFont="1" applyBorder="1"/>
    <xf numFmtId="164" fontId="4" fillId="0" borderId="0" xfId="0" applyNumberFormat="1" applyFont="1" applyAlignment="1">
      <alignment wrapText="1"/>
    </xf>
    <xf numFmtId="164" fontId="0" fillId="0" borderId="0" xfId="0" applyNumberFormat="1"/>
    <xf numFmtId="3" fontId="6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6" fontId="12" fillId="0" borderId="10" xfId="2" applyNumberFormat="1" applyFont="1" applyFill="1" applyBorder="1" applyAlignment="1"/>
    <xf numFmtId="166" fontId="12" fillId="0" borderId="1" xfId="2" applyNumberFormat="1" applyFont="1" applyFill="1" applyBorder="1" applyAlignment="1"/>
    <xf numFmtId="166" fontId="12" fillId="0" borderId="1" xfId="2" applyNumberFormat="1" applyFont="1" applyFill="1" applyBorder="1" applyAlignment="1">
      <alignment horizontal="right"/>
    </xf>
    <xf numFmtId="166" fontId="12" fillId="0" borderId="1" xfId="0" applyNumberFormat="1" applyFont="1" applyBorder="1" applyAlignment="1">
      <alignment horizontal="right"/>
    </xf>
    <xf numFmtId="166" fontId="12" fillId="0" borderId="0" xfId="2" applyNumberFormat="1" applyFont="1" applyFill="1" applyBorder="1" applyAlignment="1">
      <alignment horizontal="right"/>
    </xf>
    <xf numFmtId="3" fontId="0" fillId="0" borderId="0" xfId="0" applyNumberFormat="1"/>
    <xf numFmtId="0" fontId="15" fillId="0" borderId="0" xfId="0" applyFont="1"/>
    <xf numFmtId="167" fontId="6" fillId="0" borderId="4" xfId="1" applyNumberFormat="1" applyFont="1" applyFill="1" applyBorder="1" applyAlignment="1">
      <alignment horizontal="right"/>
    </xf>
    <xf numFmtId="166" fontId="6" fillId="0" borderId="4" xfId="2" applyNumberFormat="1" applyFont="1" applyFill="1" applyBorder="1" applyAlignment="1">
      <alignment horizontal="right"/>
    </xf>
    <xf numFmtId="164" fontId="6" fillId="3" borderId="1" xfId="1" applyFont="1" applyFill="1" applyBorder="1" applyAlignment="1">
      <alignment horizontal="right"/>
    </xf>
    <xf numFmtId="164" fontId="6" fillId="3" borderId="3" xfId="1" applyFont="1" applyFill="1" applyBorder="1" applyAlignment="1">
      <alignment horizontal="right"/>
    </xf>
    <xf numFmtId="164" fontId="12" fillId="3" borderId="1" xfId="1" applyFont="1" applyFill="1" applyBorder="1"/>
    <xf numFmtId="166" fontId="12" fillId="3" borderId="1" xfId="2" applyNumberFormat="1" applyFont="1" applyFill="1" applyBorder="1"/>
    <xf numFmtId="167" fontId="5" fillId="0" borderId="15" xfId="1" applyNumberFormat="1" applyFont="1" applyBorder="1"/>
    <xf numFmtId="167" fontId="12" fillId="0" borderId="15" xfId="1" applyNumberFormat="1" applyFont="1" applyFill="1" applyBorder="1"/>
    <xf numFmtId="167" fontId="12" fillId="0" borderId="19" xfId="1" applyNumberFormat="1" applyFont="1" applyFill="1" applyBorder="1"/>
    <xf numFmtId="167" fontId="12" fillId="0" borderId="18" xfId="1" applyNumberFormat="1" applyFont="1" applyFill="1" applyBorder="1"/>
    <xf numFmtId="167" fontId="12" fillId="0" borderId="1" xfId="1" applyNumberFormat="1" applyFont="1" applyFill="1" applyBorder="1"/>
    <xf numFmtId="164" fontId="5" fillId="0" borderId="4" xfId="1" applyFont="1" applyFill="1" applyBorder="1"/>
    <xf numFmtId="164" fontId="12" fillId="0" borderId="1" xfId="1" applyFont="1" applyFill="1" applyBorder="1"/>
    <xf numFmtId="164" fontId="6" fillId="0" borderId="4" xfId="1" applyFont="1" applyFill="1" applyBorder="1" applyAlignment="1">
      <alignment horizontal="right"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6" fillId="0" borderId="15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15" xfId="0" applyFont="1" applyBorder="1"/>
    <xf numFmtId="0" fontId="6" fillId="0" borderId="13" xfId="0" applyFont="1" applyBorder="1"/>
    <xf numFmtId="0" fontId="4" fillId="0" borderId="14" xfId="0" applyFont="1" applyBorder="1"/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6" xfId="0" applyFont="1" applyBorder="1"/>
    <xf numFmtId="0" fontId="6" fillId="0" borderId="20" xfId="0" applyFont="1" applyBorder="1"/>
  </cellXfs>
  <cellStyles count="5">
    <cellStyle name="Comma [0] 2" xfId="3" xr:uid="{00000000-0005-0000-0000-000002000000}"/>
    <cellStyle name="Comma 2" xfId="4" xr:uid="{00000000-0005-0000-0000-000003000000}"/>
    <cellStyle name="Koma" xfId="2" builtinId="3"/>
    <cellStyle name="Ko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B%20Drive\DATA%20PERIKANAN%20TANGKAP\DATA%20PRODUKSI%20TAHUN%202023\FORM%20NON%20PELABUHAN%20KABUPATEN%20BREBES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Downloads\baru%20C.%20PER%20KOMODITAS%20PER%20KECAMATAN%20202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Downloads\baru%20E.%20PUSAT%20RRRDATA%20PAYAU%20202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Downloads\F.DATA%20RRRPUSAT%20TAWAR%20202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INAS%20PERIKANAN/DINAS%20PERIKANAN%20TA%202023/Produksi%20Garam%20Tambak%20Kab%20Brebes%20Tahu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n Pelabuhan Januari"/>
      <sheetName val="Non Pelabuhan Februari"/>
      <sheetName val="Non Pelabuhan Maret"/>
      <sheetName val="Non Pelabuhan April"/>
      <sheetName val="Non Pelabuhan Mei"/>
      <sheetName val="Non Pelabuhan Juni"/>
      <sheetName val="Non Pelabuhan Juli"/>
      <sheetName val="Non Pelabuhan Agustus"/>
      <sheetName val="Non Pelabuhan September"/>
      <sheetName val="Non Pelabuhan Oktober"/>
      <sheetName val="Non Pelabuhan November"/>
      <sheetName val="Non Pelabuhan Desember"/>
      <sheetName val="REKAP PEL NON PUD 20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5">
          <cell r="B35">
            <v>265252.09999999998</v>
          </cell>
          <cell r="C35">
            <v>243851.8</v>
          </cell>
          <cell r="D35">
            <v>371193.8</v>
          </cell>
          <cell r="E35">
            <v>448526</v>
          </cell>
          <cell r="F35">
            <v>512375</v>
          </cell>
          <cell r="G35">
            <v>426129.2</v>
          </cell>
          <cell r="H35">
            <v>595241.30000000005</v>
          </cell>
          <cell r="I35">
            <v>470449.9</v>
          </cell>
          <cell r="J35">
            <v>413565.3</v>
          </cell>
          <cell r="K35">
            <v>357589.7</v>
          </cell>
          <cell r="L35">
            <v>312707.20000000001</v>
          </cell>
          <cell r="M35">
            <v>124112</v>
          </cell>
        </row>
        <row r="38">
          <cell r="B38">
            <v>4354493450</v>
          </cell>
          <cell r="C38">
            <v>5881256300</v>
          </cell>
          <cell r="D38">
            <v>5181452700</v>
          </cell>
          <cell r="E38">
            <v>6419735200</v>
          </cell>
          <cell r="F38">
            <v>7280179600</v>
          </cell>
          <cell r="G38">
            <v>5308581000</v>
          </cell>
          <cell r="H38">
            <v>4817204500</v>
          </cell>
          <cell r="I38">
            <v>5697573500</v>
          </cell>
          <cell r="J38">
            <v>6152369000</v>
          </cell>
          <cell r="K38">
            <v>5495608000</v>
          </cell>
          <cell r="L38">
            <v>6068361700</v>
          </cell>
          <cell r="M38">
            <v>2336631900</v>
          </cell>
        </row>
        <row r="43">
          <cell r="N43">
            <v>173034</v>
          </cell>
        </row>
        <row r="44">
          <cell r="N44">
            <v>123044</v>
          </cell>
        </row>
        <row r="45">
          <cell r="B45">
            <v>9120</v>
          </cell>
          <cell r="C45">
            <v>7400</v>
          </cell>
          <cell r="D45">
            <v>8400</v>
          </cell>
          <cell r="E45">
            <v>16000</v>
          </cell>
          <cell r="F45">
            <v>23560</v>
          </cell>
          <cell r="G45">
            <v>35460</v>
          </cell>
          <cell r="H45">
            <v>33410</v>
          </cell>
          <cell r="I45">
            <v>36654</v>
          </cell>
          <cell r="J45">
            <v>33518</v>
          </cell>
          <cell r="K45">
            <v>33716</v>
          </cell>
          <cell r="L45">
            <v>31840</v>
          </cell>
          <cell r="M45">
            <v>27000</v>
          </cell>
        </row>
        <row r="47">
          <cell r="B47">
            <v>1280</v>
          </cell>
          <cell r="C47">
            <v>1270</v>
          </cell>
          <cell r="D47">
            <v>1324</v>
          </cell>
          <cell r="E47">
            <v>2710</v>
          </cell>
          <cell r="F47">
            <v>3220</v>
          </cell>
          <cell r="G47">
            <v>3464</v>
          </cell>
          <cell r="H47">
            <v>2096</v>
          </cell>
          <cell r="I47">
            <v>1880</v>
          </cell>
          <cell r="J47">
            <v>2120</v>
          </cell>
          <cell r="K47">
            <v>2760</v>
          </cell>
          <cell r="L47">
            <v>2312</v>
          </cell>
          <cell r="M47">
            <v>3048</v>
          </cell>
          <cell r="N47">
            <v>27484</v>
          </cell>
        </row>
        <row r="50">
          <cell r="N50">
            <v>1904860000</v>
          </cell>
        </row>
        <row r="51">
          <cell r="N51">
            <v>2046295000</v>
          </cell>
        </row>
        <row r="52">
          <cell r="B52">
            <v>159850000</v>
          </cell>
          <cell r="C52">
            <v>124320000</v>
          </cell>
          <cell r="D52">
            <v>141300000</v>
          </cell>
          <cell r="E52">
            <v>272365000</v>
          </cell>
          <cell r="F52">
            <v>319335000</v>
          </cell>
          <cell r="G52">
            <v>445055000</v>
          </cell>
          <cell r="H52">
            <v>449340000</v>
          </cell>
          <cell r="I52">
            <v>464925000</v>
          </cell>
          <cell r="J52">
            <v>402890000</v>
          </cell>
          <cell r="K52">
            <v>389760000</v>
          </cell>
          <cell r="L52">
            <v>380495000</v>
          </cell>
          <cell r="M52">
            <v>401520000</v>
          </cell>
        </row>
        <row r="54">
          <cell r="B54">
            <v>20505000</v>
          </cell>
          <cell r="C54">
            <v>20400000</v>
          </cell>
          <cell r="D54">
            <v>22890000</v>
          </cell>
          <cell r="E54">
            <v>43190000</v>
          </cell>
          <cell r="F54">
            <v>51700000</v>
          </cell>
          <cell r="G54">
            <v>55615000</v>
          </cell>
          <cell r="H54">
            <v>33945000</v>
          </cell>
          <cell r="I54">
            <v>30315000</v>
          </cell>
          <cell r="J54">
            <v>35205000</v>
          </cell>
          <cell r="K54">
            <v>46000000</v>
          </cell>
          <cell r="L54">
            <v>39246000</v>
          </cell>
          <cell r="M54">
            <v>51155000</v>
          </cell>
          <cell r="N54">
            <v>450166000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AU"/>
      <sheetName val="TAWAR"/>
      <sheetName val="pembesaran ikan hias"/>
      <sheetName val="pembenihan ikan hias"/>
      <sheetName val="pembenihan ikan air tawar"/>
    </sheetNames>
    <sheetDataSet>
      <sheetData sheetId="0" refreshError="1">
        <row r="6">
          <cell r="K6">
            <v>18882675</v>
          </cell>
          <cell r="L6">
            <v>18882675000</v>
          </cell>
        </row>
        <row r="10">
          <cell r="K10">
            <v>44801358.5</v>
          </cell>
          <cell r="L10">
            <v>44801358500</v>
          </cell>
        </row>
        <row r="16">
          <cell r="C16">
            <v>20392988.5</v>
          </cell>
        </row>
        <row r="17">
          <cell r="C17">
            <v>1709415.7875000001</v>
          </cell>
        </row>
        <row r="18">
          <cell r="C18">
            <v>1602546.37</v>
          </cell>
        </row>
        <row r="19">
          <cell r="C19">
            <v>429694.04</v>
          </cell>
        </row>
        <row r="20">
          <cell r="C20">
            <v>47342675.700000003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mlah RTP 2022"/>
      <sheetName val="DAFTAR STOR DATA"/>
      <sheetName val="PAYAU GEDE"/>
      <sheetName val="PERSEBARAN IKAN PAYAU 2023"/>
      <sheetName val="LOSARI PAYAU JANUARI"/>
      <sheetName val="LOSARI PAYAU FEBRUARI"/>
      <sheetName val="LOSARI PAYAU MARET"/>
      <sheetName val="LOSARI PAYAU APRIL"/>
      <sheetName val="LOSARI PAYAU Mei"/>
      <sheetName val="LOSARI PAYAU Juni"/>
      <sheetName val="TANJUNG PAYAU JANUARI"/>
      <sheetName val="TANJUNG PAYAU Februari"/>
      <sheetName val="TANJUNG PAYAU Maret"/>
      <sheetName val="TANJUNG PAYAU April"/>
      <sheetName val="TANJUNG PAYAU Mei"/>
      <sheetName val="TANJUNG PAYAU Juni"/>
      <sheetName val="BULAKAMBA JANUARI"/>
      <sheetName val="BULAKAMBA Februari"/>
      <sheetName val="BULAKAMBA Maret"/>
      <sheetName val="BULAKAMBA April"/>
      <sheetName val="BULAKAMBA Mei"/>
      <sheetName val="BULAKAMBA Juni"/>
      <sheetName val="WANASARI JANUARI"/>
      <sheetName val="WANASARI Februari"/>
      <sheetName val="WANASARI maret"/>
      <sheetName val="WANASARI April"/>
      <sheetName val="WANASARI Mei"/>
      <sheetName val="WANASARI Juni"/>
      <sheetName val="BREBES JANUARI"/>
      <sheetName val="LOSARI PAYAU JANUARI (4)"/>
      <sheetName val="IKAN PAYAU FEBUARI 2022 (2)"/>
      <sheetName val="IKAN PAYAU MARET 2022 (3)"/>
      <sheetName val="IKAN PAYAU APRIL 2022"/>
      <sheetName val="IKAN PAYAU MEI 2022"/>
      <sheetName val="IKAN PAYAU JUNI 2022"/>
      <sheetName val="IKAN PAYAU JULI 2022"/>
      <sheetName val="IKAN PAYAU AGUSTUS 2022"/>
      <sheetName val="IKAN PAYAU SEPT 2022 "/>
      <sheetName val="IKAN PAYAU Okt 2022"/>
      <sheetName val="IKAN PAYAU Nop 2022"/>
      <sheetName val="IKAN PAYAU Des 2022"/>
      <sheetName val="LUAS SUPLAI PAYAU JUNI 2022"/>
      <sheetName val="LUAS SUPLAI MARET PAYAU 2021"/>
      <sheetName val="DATA KHUSU RL (MURNI)2022"/>
      <sheetName val="BREBES FEBRUARI"/>
      <sheetName val="BREBES Maret"/>
      <sheetName val="BREBES April"/>
      <sheetName val="BREBES Mei"/>
      <sheetName val="BREBES Juni"/>
      <sheetName val="REKAP TW 1-4 PAYAU 2023"/>
      <sheetName val="PERKECAMATAN PAYAU"/>
      <sheetName val="IKAN TAWAR JANUARI 2022 (1)"/>
      <sheetName val="IKAN TAWAR FEBUARI 2022 (2)"/>
      <sheetName val="IKAN TAWAR MARET 2022 (3)"/>
      <sheetName val="IKAN TAWAR APRIL 2022"/>
      <sheetName val="IKAN TAWAR MEI 2022"/>
      <sheetName val="IKAN TAWAR JUNI 2022"/>
      <sheetName val="IKAN TAWAR JULI 2022 "/>
      <sheetName val="IKAN TAWAR AGUSTUS 2022"/>
      <sheetName val="IKAN TAWAR SEPT 2022"/>
      <sheetName val="IKAN TAWAR Oktober 2022"/>
      <sheetName val="IKAN TAWAR Nop 2022 "/>
      <sheetName val="IKAN TAWAR DES 2022"/>
      <sheetName val="LUAS SUPLAY JUNI TAWAR 2022"/>
      <sheetName val="LUAS SUPLAI MARET TAWAR 2021"/>
      <sheetName val="LAPORAN AKHIR GLOBAL"/>
      <sheetName val="REKAP TW 1 PEMBESARAN IKAN HIAS"/>
      <sheetName val="REKAP TW I-4 TAWAR 2022"/>
      <sheetName val="PERKECAMATAN TAWAR"/>
      <sheetName val="BAHAN RAPAT 19 07 22"/>
      <sheetName val="DATA PUSAT 2021"/>
      <sheetName val="PERMINTAAN PAK KABID"/>
      <sheetName val="DRAF PENCAIRAN HONOR"/>
      <sheetName val="DATA PERMINTAAN B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1">
          <cell r="E11">
            <v>4570000</v>
          </cell>
          <cell r="F11">
            <v>4535500</v>
          </cell>
          <cell r="G11">
            <v>4364000</v>
          </cell>
          <cell r="H11">
            <v>3720291</v>
          </cell>
          <cell r="I11">
            <v>3954660</v>
          </cell>
          <cell r="J11">
            <v>4194500</v>
          </cell>
          <cell r="K11">
            <v>6027000</v>
          </cell>
          <cell r="L11">
            <v>6345800</v>
          </cell>
          <cell r="M11">
            <v>6878000</v>
          </cell>
          <cell r="N11">
            <v>6250282.5</v>
          </cell>
          <cell r="O11">
            <v>6222000</v>
          </cell>
          <cell r="P11">
            <v>6622000</v>
          </cell>
        </row>
        <row r="14">
          <cell r="E14">
            <v>5252290</v>
          </cell>
          <cell r="F14">
            <v>5186683</v>
          </cell>
          <cell r="G14">
            <v>5051308</v>
          </cell>
          <cell r="H14">
            <v>4332324</v>
          </cell>
          <cell r="I14">
            <v>4659038</v>
          </cell>
          <cell r="J14">
            <v>4815013</v>
          </cell>
          <cell r="K14">
            <v>6659955</v>
          </cell>
          <cell r="L14">
            <v>6837784</v>
          </cell>
          <cell r="M14">
            <v>7400446</v>
          </cell>
          <cell r="N14">
            <v>6832397.5</v>
          </cell>
          <cell r="O14">
            <v>7036757</v>
          </cell>
          <cell r="P14">
            <v>7413324</v>
          </cell>
        </row>
        <row r="46">
          <cell r="E46">
            <v>4570000000</v>
          </cell>
          <cell r="F46">
            <v>4535500000</v>
          </cell>
          <cell r="G46">
            <v>4364000000</v>
          </cell>
          <cell r="H46">
            <v>3720291000</v>
          </cell>
          <cell r="I46">
            <v>3954660000</v>
          </cell>
          <cell r="J46">
            <v>4194500000</v>
          </cell>
          <cell r="K46">
            <v>6027000000</v>
          </cell>
          <cell r="L46">
            <v>6345800000</v>
          </cell>
          <cell r="M46">
            <v>6878000000</v>
          </cell>
          <cell r="N46">
            <v>6250282500</v>
          </cell>
          <cell r="O46">
            <v>6222000000</v>
          </cell>
          <cell r="P46">
            <v>6622000000</v>
          </cell>
        </row>
        <row r="48">
          <cell r="E48">
            <v>27262450000</v>
          </cell>
          <cell r="F48">
            <v>21968060000</v>
          </cell>
          <cell r="G48">
            <v>25688060000</v>
          </cell>
          <cell r="H48">
            <v>20405801000</v>
          </cell>
          <cell r="I48">
            <v>23771620000</v>
          </cell>
          <cell r="J48">
            <v>21866565000</v>
          </cell>
          <cell r="K48">
            <v>27398150000</v>
          </cell>
          <cell r="L48">
            <v>20898500000</v>
          </cell>
          <cell r="M48">
            <v>22868920000</v>
          </cell>
        </row>
        <row r="49">
          <cell r="N49">
            <v>26944292500</v>
          </cell>
          <cell r="O49">
            <v>33170570000</v>
          </cell>
          <cell r="P49">
            <v>34807130000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mlah RTP 2022"/>
      <sheetName val="DAFTAR STOR DATA"/>
      <sheetName val="TAWAR GEDE"/>
      <sheetName val="PEMBENIHAN TAWAR"/>
      <sheetName val="PEMBENIHAN PAYAU"/>
      <sheetName val="PEMBENIHAN HIAS"/>
      <sheetName val="PEMBESARAN HIAS"/>
      <sheetName val="MB TIWI"/>
      <sheetName val="PERSEBARAN IKAN PAYAU 2021"/>
      <sheetName val="IKAN TAWAR 2022"/>
      <sheetName val="PERSEBARAN IKAN TAWAR 2021"/>
      <sheetName val="DATA KHUSU RL 2022"/>
      <sheetName val="PERSEBARAN IKAN PAYAU 2022 (2)"/>
      <sheetName val="PERSEBARAN IKAN TAWAR 2022 (2)"/>
      <sheetName val="PESEBARAN KOMODITAS"/>
      <sheetName val="IKAN PAYAU JANUARI 2022 (1)"/>
      <sheetName val="IKAN PAYAU FEBUARI 2022 (2)"/>
      <sheetName val="IKAN PAYAU MARET 2022 (3)"/>
      <sheetName val="IKAN PAYAU APRIL 2022"/>
      <sheetName val="IKAN PAYAU MEI 2022"/>
      <sheetName val="IKAN PAYAU JUNI 2022"/>
      <sheetName val="IKAN PAYAU JULI 2022"/>
      <sheetName val="IKAN PAYAU AGUSTUS 2022"/>
      <sheetName val="IKAN PAYAU SEPT 2022 "/>
      <sheetName val="IKAN PAYAU Okt 2022"/>
      <sheetName val="IKAN PAYAU Nop 2022"/>
      <sheetName val="IKAN PAYAU Des 2022"/>
      <sheetName val="LUAS SUPLAI PAYAU JUNI 2022"/>
      <sheetName val="LUAS SUPLAI MARET PAYAU 2021"/>
      <sheetName val="DATA KHUSU RL (MURNI)2022"/>
      <sheetName val="REKAP TW 1-4 PAYAU 2022"/>
      <sheetName val="PERKECAMATAN PAYAU"/>
      <sheetName val="SALEM JANUARI"/>
      <sheetName val="SALEM FEBRUARI"/>
      <sheetName val="SALEM MARET"/>
      <sheetName val="SALEM APRIL"/>
      <sheetName val="SALEM MEI"/>
      <sheetName val="SALEM JUNI"/>
      <sheetName val="SALEM JULI"/>
      <sheetName val="SALEM AGUS"/>
      <sheetName val="SALEM SEPT"/>
      <sheetName val="SALEM OKT"/>
      <sheetName val="SALEM NOP"/>
      <sheetName val="KERSANA JANUARI"/>
      <sheetName val="KERSANA FEBRUARI"/>
      <sheetName val="KERSANA MARET"/>
      <sheetName val="KERSANA APRIL"/>
      <sheetName val="KERSANA MEI"/>
      <sheetName val="KERSANA JUNI"/>
      <sheetName val="KERSANA JULI"/>
      <sheetName val="KERSANA AGUS"/>
      <sheetName val="KERSANA SEP"/>
      <sheetName val="KERSANA OKTOBER"/>
      <sheetName val="KERSANA nop"/>
      <sheetName val="KETANGGUNGAN Januari"/>
      <sheetName val="KETANGGUNGAN Februari."/>
      <sheetName val="BUMIAYU JANUARI"/>
      <sheetName val="KETANGGUNGAN MARET"/>
      <sheetName val="KETANGGUNGAN APRIL"/>
      <sheetName val="KETANGGUNGAN MEI"/>
      <sheetName val="KETANGGUNGAN JUNI"/>
      <sheetName val="KETANGGUNGAN JULI"/>
      <sheetName val="KETANGGUNGAN AGUS"/>
      <sheetName val="KETANGGUNGAN SEP"/>
      <sheetName val="BUMIAYU JANUARI."/>
      <sheetName val="BUMIAYU FEBRUARI"/>
      <sheetName val="BUMIAYU MARET"/>
      <sheetName val="BUMIAYU April"/>
      <sheetName val="BUMIAYU Mei"/>
      <sheetName val="BUMIAYU JUNI"/>
      <sheetName val="BUMIAYU JULI"/>
      <sheetName val="BUMIAYU AGUS"/>
      <sheetName val="BUMIAYU SEP"/>
      <sheetName val="PAGUYANGAN JANUARI"/>
      <sheetName val="PAGUYANGAN FEBRUARI"/>
      <sheetName val="PAGUYANGAN MARET"/>
      <sheetName val="PAGUYANGAN April"/>
      <sheetName val="PAGUYANGAN Mei-Nihil"/>
      <sheetName val="PAGUYANGAN Juni-Nihil"/>
      <sheetName val="PAGUYANGAN Juli"/>
      <sheetName val="PAGUYANGAN AGUS"/>
      <sheetName val="BULAKAMBA JANUARI"/>
      <sheetName val="BULAKAMBA FEBRUARI"/>
      <sheetName val="LARANGAN JANUARI"/>
      <sheetName val="LARANGAN FEBRUARI"/>
      <sheetName val="BANJARHARJO JANUARI"/>
      <sheetName val="BANJARHARJO FEBRUARI"/>
      <sheetName val="BANTARKAWUNG JANUARI"/>
      <sheetName val="BANTARKAWUNG FEBRUARI"/>
      <sheetName val="SIRAMPOG JANUARI"/>
      <sheetName val="SIRAMPOG FEBRUARI"/>
      <sheetName val="TONJONG JANUARI"/>
      <sheetName val="TONJONG FEBRUARI"/>
      <sheetName val="SONGGOM JANUARI"/>
      <sheetName val="SONGGOM FEBRUARI"/>
      <sheetName val="JATIBARANG JANUARI"/>
      <sheetName val="JATIBARANG FEBRUARI"/>
      <sheetName val="LOSARI JANUARI"/>
      <sheetName val="LOSARI FEBRUARI"/>
      <sheetName val="TANJUNG JANUARI"/>
      <sheetName val="TANJUNG FEBRUARI"/>
      <sheetName val="WANASARI JANUARI"/>
      <sheetName val="WANASARI FEBRUARI"/>
      <sheetName val="BREBES JANUARI"/>
      <sheetName val="KERSANA JANUARI (2)"/>
      <sheetName val="IKAN TAWAR FEBUARI 2022 (2)"/>
      <sheetName val="IKAN TAWAR MARET 2022 (3)"/>
      <sheetName val="IKAN TAWAR APRIL 2022"/>
      <sheetName val="IKAN TAWAR MEI 2022"/>
      <sheetName val="IKAN TAWAR JUNI 2022"/>
      <sheetName val="IKAN TAWAR JULI 2022 "/>
      <sheetName val="IKAN TAWAR AGUSTUS 2022"/>
      <sheetName val="IKAN TAWAR SEPT 2022"/>
      <sheetName val="IKAN TAWAR Oktober 2022"/>
      <sheetName val="IKAN TAWAR Nop 2022 "/>
      <sheetName val="IKAN TAWAR DES 2022"/>
      <sheetName val="LUAS SUPLAY JUNI TAWAR 2022"/>
      <sheetName val="LUAS SUPLAI MARET TAWAR 2021"/>
      <sheetName val="REKAP TW 1 S.D 3 PEMBENIH TAWAR"/>
      <sheetName val="REKAP TW 1 PEMBESARAN IKAN HIAS"/>
      <sheetName val="BREBES FEBRUARI"/>
      <sheetName val="REKAP TW I-4 TAWAR 2023"/>
      <sheetName val="LAPORAN AKHIR GLOBAL"/>
      <sheetName val="PERKECAMATAN TAWAR"/>
      <sheetName val="BAHAN RAPAT 19 07 22"/>
      <sheetName val="DATA PUSAT 2021"/>
      <sheetName val="PERMINTAAN PAK KABID"/>
      <sheetName val="DRAF PENCAIRAN HONOR"/>
      <sheetName val="DATA PERMINTAAN B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>
        <row r="48">
          <cell r="E48">
            <v>261897</v>
          </cell>
          <cell r="F48">
            <v>293155</v>
          </cell>
          <cell r="G48">
            <v>327453</v>
          </cell>
          <cell r="H48">
            <v>543566.80000000005</v>
          </cell>
          <cell r="I48">
            <v>484294.00000000006</v>
          </cell>
          <cell r="J48">
            <v>238330</v>
          </cell>
          <cell r="K48">
            <v>318110</v>
          </cell>
          <cell r="L48">
            <v>283956</v>
          </cell>
          <cell r="M48">
            <v>168357.4</v>
          </cell>
          <cell r="N48">
            <v>169067.5</v>
          </cell>
          <cell r="O48">
            <v>175870</v>
          </cell>
          <cell r="P48">
            <v>193566.5</v>
          </cell>
        </row>
      </sheetData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 Bulanan"/>
      <sheetName val="Lahan Integrasi"/>
      <sheetName val="Lahan Non Integrasi"/>
      <sheetName val="Grafik"/>
    </sheetNames>
    <sheetDataSet>
      <sheetData sheetId="0" refreshError="1">
        <row r="15">
          <cell r="G15">
            <v>36690</v>
          </cell>
          <cell r="I15">
            <v>130943700</v>
          </cell>
          <cell r="J15">
            <v>520527</v>
          </cell>
          <cell r="L15">
            <v>1383201800</v>
          </cell>
          <cell r="M15">
            <v>4071815</v>
          </cell>
          <cell r="O15">
            <v>3691845890</v>
          </cell>
          <cell r="P15">
            <v>9914766</v>
          </cell>
          <cell r="R15">
            <v>9251927850</v>
          </cell>
          <cell r="S15">
            <v>8994745</v>
          </cell>
          <cell r="U15">
            <v>7860203925</v>
          </cell>
          <cell r="Y15">
            <v>242584</v>
          </cell>
          <cell r="AA15">
            <v>272870250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27"/>
  <sheetViews>
    <sheetView showWhiteSpace="0" topLeftCell="A7" zoomScalePageLayoutView="77" workbookViewId="0">
      <selection activeCell="E27" sqref="E27"/>
    </sheetView>
  </sheetViews>
  <sheetFormatPr defaultRowHeight="14.5"/>
  <cols>
    <col min="1" max="1" width="27.7265625" customWidth="1"/>
    <col min="2" max="3" width="25.453125" customWidth="1"/>
    <col min="4" max="4" width="9"/>
    <col min="5" max="5" width="35.453125" customWidth="1"/>
  </cols>
  <sheetData>
    <row r="1" spans="1:5">
      <c r="A1" s="133" t="s">
        <v>0</v>
      </c>
      <c r="B1" s="133"/>
      <c r="C1" s="133"/>
      <c r="D1" s="12"/>
      <c r="E1" s="12"/>
    </row>
    <row r="2" spans="1:5">
      <c r="A2" s="133" t="s">
        <v>17</v>
      </c>
      <c r="B2" s="133"/>
      <c r="C2" s="133"/>
      <c r="D2" s="12"/>
      <c r="E2" s="12"/>
    </row>
    <row r="3" spans="1:5">
      <c r="A3" s="133" t="s">
        <v>105</v>
      </c>
      <c r="B3" s="133"/>
      <c r="C3" s="133"/>
      <c r="D3" s="12"/>
      <c r="E3" s="12"/>
    </row>
    <row r="4" spans="1:5" ht="15" thickBot="1">
      <c r="A4" s="2"/>
      <c r="B4" s="2"/>
      <c r="C4" s="2"/>
      <c r="D4" s="12"/>
      <c r="E4" s="12"/>
    </row>
    <row r="5" spans="1:5" ht="63" customHeight="1">
      <c r="A5" s="134" t="s">
        <v>104</v>
      </c>
      <c r="B5" s="136" t="s">
        <v>30</v>
      </c>
      <c r="C5" s="136" t="s">
        <v>31</v>
      </c>
      <c r="D5" s="12"/>
      <c r="E5" s="12"/>
    </row>
    <row r="6" spans="1:5" ht="15" thickBot="1">
      <c r="A6" s="135"/>
      <c r="B6" s="137"/>
      <c r="C6" s="138"/>
      <c r="D6" s="12"/>
      <c r="E6" s="12"/>
    </row>
    <row r="7" spans="1:5" ht="16" thickBot="1">
      <c r="A7" s="10" t="s">
        <v>14</v>
      </c>
      <c r="B7" s="11" t="s">
        <v>15</v>
      </c>
      <c r="C7" s="11" t="s">
        <v>16</v>
      </c>
      <c r="D7" s="12"/>
      <c r="E7" s="12"/>
    </row>
    <row r="8" spans="1:5" ht="16" thickBot="1">
      <c r="A8" s="6" t="s">
        <v>18</v>
      </c>
      <c r="B8" s="108">
        <v>42854.2</v>
      </c>
      <c r="C8" s="108">
        <f>367200000/1000</f>
        <v>367200</v>
      </c>
      <c r="D8" s="12"/>
    </row>
    <row r="9" spans="1:5" ht="16" thickBot="1">
      <c r="A9" s="6" t="s">
        <v>19</v>
      </c>
      <c r="B9" s="108">
        <v>1277848</v>
      </c>
      <c r="C9" s="108">
        <f>8709650000/1000</f>
        <v>8709650</v>
      </c>
      <c r="D9" s="12"/>
    </row>
    <row r="10" spans="1:5" ht="16" thickBot="1">
      <c r="A10" s="6" t="s">
        <v>20</v>
      </c>
      <c r="B10" s="108">
        <v>1428580</v>
      </c>
      <c r="C10" s="108">
        <f>17437525400/1000</f>
        <v>17437525.399999999</v>
      </c>
      <c r="D10" s="12"/>
    </row>
    <row r="11" spans="1:5" ht="16" thickBot="1">
      <c r="A11" s="6" t="s">
        <v>21</v>
      </c>
      <c r="B11" s="108">
        <v>197248</v>
      </c>
      <c r="C11" s="108">
        <f>3332846200/1000</f>
        <v>3332846.2</v>
      </c>
      <c r="D11" s="12"/>
    </row>
    <row r="12" spans="1:5" ht="16" thickBot="1">
      <c r="A12" s="6" t="s">
        <v>22</v>
      </c>
      <c r="B12" s="108">
        <v>268402</v>
      </c>
      <c r="C12" s="108">
        <f>9341627200/1000</f>
        <v>9341627.1999999993</v>
      </c>
      <c r="D12" s="12"/>
    </row>
    <row r="13" spans="1:5" ht="16" thickBot="1">
      <c r="A13" s="6" t="s">
        <v>23</v>
      </c>
      <c r="B13" s="35">
        <v>0</v>
      </c>
      <c r="C13" s="35">
        <v>0</v>
      </c>
      <c r="D13" s="12"/>
    </row>
    <row r="14" spans="1:5" ht="16" thickBot="1">
      <c r="A14" s="6" t="s">
        <v>24</v>
      </c>
      <c r="B14" s="34">
        <v>56874.1</v>
      </c>
      <c r="C14" s="108">
        <f>690545000/1000</f>
        <v>690545</v>
      </c>
      <c r="D14" s="12"/>
    </row>
    <row r="15" spans="1:5" ht="16" thickBot="1">
      <c r="A15" s="6" t="s">
        <v>25</v>
      </c>
      <c r="B15" s="35">
        <v>0</v>
      </c>
      <c r="C15" s="35">
        <v>0</v>
      </c>
      <c r="D15" s="12"/>
    </row>
    <row r="16" spans="1:5" ht="16" thickBot="1">
      <c r="A16" s="6" t="s">
        <v>26</v>
      </c>
      <c r="B16" s="35">
        <v>0</v>
      </c>
      <c r="C16" s="35">
        <v>0</v>
      </c>
      <c r="D16" s="12"/>
    </row>
    <row r="17" spans="1:5" ht="16" thickBot="1">
      <c r="A17" s="6" t="s">
        <v>27</v>
      </c>
      <c r="B17" s="35">
        <v>0</v>
      </c>
      <c r="C17" s="35">
        <v>0</v>
      </c>
      <c r="D17" s="12"/>
    </row>
    <row r="18" spans="1:5" ht="16" thickBot="1">
      <c r="A18" s="6" t="s">
        <v>28</v>
      </c>
      <c r="B18" s="35">
        <v>0</v>
      </c>
      <c r="C18" s="35">
        <v>0</v>
      </c>
      <c r="D18" s="12"/>
    </row>
    <row r="19" spans="1:5" ht="16" thickBot="1">
      <c r="A19" s="6" t="s">
        <v>29</v>
      </c>
      <c r="B19" s="35">
        <v>0</v>
      </c>
      <c r="C19" s="35">
        <v>0</v>
      </c>
      <c r="D19" s="12"/>
    </row>
    <row r="20" spans="1:5" ht="16" thickBot="1">
      <c r="A20" s="7">
        <v>2023</v>
      </c>
      <c r="B20" s="37">
        <f>SUM(B8:B19)</f>
        <v>3271806.3000000003</v>
      </c>
      <c r="C20" s="37">
        <f>SUM(C8:C19)</f>
        <v>39879393.799999997</v>
      </c>
      <c r="D20" s="12"/>
      <c r="E20" s="12"/>
    </row>
    <row r="21" spans="1:5" ht="16" thickBot="1">
      <c r="A21" s="7">
        <f>A20-1</f>
        <v>2022</v>
      </c>
      <c r="B21" s="25"/>
      <c r="C21" s="25"/>
      <c r="D21" s="12"/>
      <c r="E21" s="12"/>
    </row>
    <row r="22" spans="1:5" ht="16" thickBot="1">
      <c r="A22" s="7">
        <f t="shared" ref="A22:A24" si="0">A21-1</f>
        <v>2021</v>
      </c>
      <c r="B22" s="25"/>
      <c r="C22" s="25"/>
      <c r="D22" s="12"/>
      <c r="E22" s="12"/>
    </row>
    <row r="23" spans="1:5" ht="16" thickBot="1">
      <c r="A23" s="7">
        <f t="shared" si="0"/>
        <v>2020</v>
      </c>
      <c r="B23" s="25"/>
      <c r="C23" s="25"/>
      <c r="D23" s="12"/>
      <c r="E23" s="12"/>
    </row>
    <row r="24" spans="1:5" ht="16" thickBot="1">
      <c r="A24" s="7">
        <f t="shared" si="0"/>
        <v>2019</v>
      </c>
      <c r="B24" s="25"/>
      <c r="C24" s="25"/>
      <c r="D24" s="12"/>
      <c r="E24" s="12"/>
    </row>
    <row r="25" spans="1:5">
      <c r="A25" s="2"/>
      <c r="B25" s="2"/>
      <c r="C25" s="2"/>
      <c r="D25" s="12"/>
      <c r="E25" s="12"/>
    </row>
    <row r="26" spans="1:5">
      <c r="A26" s="2"/>
      <c r="B26" s="2"/>
      <c r="C26" s="2"/>
      <c r="D26" s="12"/>
      <c r="E26" s="12"/>
    </row>
    <row r="27" spans="1:5">
      <c r="A27" s="132" t="s">
        <v>32</v>
      </c>
      <c r="B27" s="132"/>
      <c r="C27" s="132"/>
      <c r="D27" s="132"/>
      <c r="E27" s="12"/>
    </row>
  </sheetData>
  <mergeCells count="7">
    <mergeCell ref="A27:D27"/>
    <mergeCell ref="A1:C1"/>
    <mergeCell ref="A2:C2"/>
    <mergeCell ref="A3:C3"/>
    <mergeCell ref="A5:A6"/>
    <mergeCell ref="B5:B6"/>
    <mergeCell ref="C5:C6"/>
  </mergeCells>
  <pageMargins left="0.7" right="0.7" top="0.75" bottom="0.75" header="0.3" footer="0.3"/>
  <pageSetup paperSize="5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D32"/>
  <sheetViews>
    <sheetView zoomScalePageLayoutView="70" workbookViewId="0">
      <selection activeCell="B7" sqref="B7"/>
    </sheetView>
  </sheetViews>
  <sheetFormatPr defaultColWidth="9" defaultRowHeight="14.5"/>
  <cols>
    <col min="1" max="1" width="27.7265625" customWidth="1"/>
    <col min="2" max="2" width="22.81640625" customWidth="1"/>
    <col min="3" max="3" width="23" customWidth="1"/>
  </cols>
  <sheetData>
    <row r="1" spans="1:4" ht="15.5">
      <c r="A1" s="2"/>
      <c r="B1" s="22" t="s">
        <v>0</v>
      </c>
      <c r="C1" s="2"/>
      <c r="D1" s="2"/>
    </row>
    <row r="2" spans="1:4" ht="15.5">
      <c r="A2" s="140" t="s">
        <v>97</v>
      </c>
      <c r="B2" s="140"/>
      <c r="C2" s="140"/>
      <c r="D2" s="2"/>
    </row>
    <row r="3" spans="1:4" ht="15.5">
      <c r="A3" s="140" t="s">
        <v>95</v>
      </c>
      <c r="B3" s="140"/>
      <c r="C3" s="140"/>
      <c r="D3" s="2"/>
    </row>
    <row r="4" spans="1:4" ht="15" thickBot="1">
      <c r="A4" s="2"/>
      <c r="B4" s="2"/>
      <c r="C4" s="2"/>
      <c r="D4" s="2"/>
    </row>
    <row r="5" spans="1:4" ht="44.25" customHeight="1">
      <c r="A5" s="141" t="s">
        <v>37</v>
      </c>
      <c r="B5" s="143" t="s">
        <v>109</v>
      </c>
      <c r="C5" s="143" t="s">
        <v>65</v>
      </c>
      <c r="D5" s="2"/>
    </row>
    <row r="6" spans="1:4" ht="15" thickBot="1">
      <c r="A6" s="142"/>
      <c r="B6" s="144"/>
      <c r="C6" s="144"/>
      <c r="D6" s="2"/>
    </row>
    <row r="7" spans="1:4" ht="15" thickBot="1">
      <c r="A7" s="13">
        <v>1</v>
      </c>
      <c r="B7" s="14">
        <v>2</v>
      </c>
      <c r="C7" s="14">
        <v>3</v>
      </c>
      <c r="D7" s="2"/>
    </row>
    <row r="8" spans="1:4" ht="16" thickBot="1">
      <c r="A8" s="15" t="s">
        <v>39</v>
      </c>
      <c r="B8" s="35">
        <v>0</v>
      </c>
      <c r="C8" s="35">
        <v>0</v>
      </c>
      <c r="D8" s="2"/>
    </row>
    <row r="9" spans="1:4" ht="16" thickBot="1">
      <c r="A9" s="15" t="s">
        <v>40</v>
      </c>
      <c r="B9" s="35">
        <v>0</v>
      </c>
      <c r="C9" s="35">
        <v>0</v>
      </c>
      <c r="D9" s="2"/>
    </row>
    <row r="10" spans="1:4" ht="16" thickBot="1">
      <c r="A10" s="15" t="s">
        <v>41</v>
      </c>
      <c r="B10" s="35">
        <v>0</v>
      </c>
      <c r="C10" s="35">
        <v>0</v>
      </c>
      <c r="D10" s="2"/>
    </row>
    <row r="11" spans="1:4" ht="16" thickBot="1">
      <c r="A11" s="15" t="s">
        <v>42</v>
      </c>
      <c r="B11" s="34">
        <f>'[1]REKAP PEL NON PUD 2023'!$N$47</f>
        <v>27484</v>
      </c>
      <c r="C11" s="34">
        <f>'[1]REKAP PEL NON PUD 2023'!$N$54/1000</f>
        <v>450166</v>
      </c>
      <c r="D11" s="2"/>
    </row>
    <row r="12" spans="1:4" ht="16" thickBot="1">
      <c r="A12" s="15" t="s">
        <v>43</v>
      </c>
      <c r="B12" s="35">
        <v>0</v>
      </c>
      <c r="C12" s="35">
        <v>0</v>
      </c>
      <c r="D12" s="2"/>
    </row>
    <row r="13" spans="1:4" ht="16" thickBot="1">
      <c r="A13" s="15" t="s">
        <v>44</v>
      </c>
      <c r="B13" s="35">
        <v>0</v>
      </c>
      <c r="C13" s="35">
        <v>0</v>
      </c>
      <c r="D13" s="2"/>
    </row>
    <row r="14" spans="1:4" ht="16" thickBot="1">
      <c r="A14" s="15" t="s">
        <v>45</v>
      </c>
      <c r="B14" s="35">
        <v>0</v>
      </c>
      <c r="C14" s="35">
        <v>0</v>
      </c>
      <c r="D14" s="2"/>
    </row>
    <row r="15" spans="1:4" ht="16" thickBot="1">
      <c r="A15" s="15" t="s">
        <v>46</v>
      </c>
      <c r="B15" s="35">
        <v>0</v>
      </c>
      <c r="C15" s="35">
        <v>0</v>
      </c>
      <c r="D15" s="2"/>
    </row>
    <row r="16" spans="1:4" ht="16" thickBot="1">
      <c r="A16" s="15" t="s">
        <v>47</v>
      </c>
      <c r="B16" s="35">
        <v>0</v>
      </c>
      <c r="C16" s="35">
        <v>0</v>
      </c>
      <c r="D16" s="2"/>
    </row>
    <row r="17" spans="1:4" ht="16" thickBot="1">
      <c r="A17" s="15" t="s">
        <v>48</v>
      </c>
      <c r="B17" s="35">
        <v>0</v>
      </c>
      <c r="C17" s="35">
        <v>0</v>
      </c>
      <c r="D17" s="2"/>
    </row>
    <row r="18" spans="1:4" ht="16" thickBot="1">
      <c r="A18" s="15" t="s">
        <v>49</v>
      </c>
      <c r="B18" s="35">
        <v>0</v>
      </c>
      <c r="C18" s="35">
        <v>0</v>
      </c>
      <c r="D18" s="2"/>
    </row>
    <row r="19" spans="1:4" ht="16" thickBot="1">
      <c r="A19" s="15" t="s">
        <v>50</v>
      </c>
      <c r="B19" s="35">
        <v>0</v>
      </c>
      <c r="C19" s="35">
        <v>0</v>
      </c>
      <c r="D19" s="2"/>
    </row>
    <row r="20" spans="1:4" ht="16" thickBot="1">
      <c r="A20" s="15" t="s">
        <v>51</v>
      </c>
      <c r="B20" s="35">
        <v>0</v>
      </c>
      <c r="C20" s="35">
        <v>0</v>
      </c>
      <c r="D20" s="2"/>
    </row>
    <row r="21" spans="1:4" ht="16" thickBot="1">
      <c r="A21" s="15" t="s">
        <v>52</v>
      </c>
      <c r="B21" s="35">
        <v>0</v>
      </c>
      <c r="C21" s="35">
        <v>0</v>
      </c>
      <c r="D21" s="2"/>
    </row>
    <row r="22" spans="1:4" ht="16" thickBot="1">
      <c r="A22" s="15" t="s">
        <v>53</v>
      </c>
      <c r="B22" s="35">
        <v>0</v>
      </c>
      <c r="C22" s="35">
        <v>0</v>
      </c>
      <c r="D22" s="2"/>
    </row>
    <row r="23" spans="1:4" ht="16" thickBot="1">
      <c r="A23" s="15" t="s">
        <v>54</v>
      </c>
      <c r="B23" s="35">
        <v>0</v>
      </c>
      <c r="C23" s="35">
        <v>0</v>
      </c>
      <c r="D23" s="2"/>
    </row>
    <row r="24" spans="1:4" ht="16" thickBot="1">
      <c r="A24" s="15" t="s">
        <v>55</v>
      </c>
      <c r="B24" s="35">
        <v>0</v>
      </c>
      <c r="C24" s="35">
        <v>0</v>
      </c>
      <c r="D24" s="2"/>
    </row>
    <row r="25" spans="1:4" ht="16" thickBot="1">
      <c r="A25" s="7">
        <v>2023</v>
      </c>
      <c r="B25" s="24">
        <f>SUM(B8:B24)</f>
        <v>27484</v>
      </c>
      <c r="C25" s="24">
        <f>SUM(C8:C24)</f>
        <v>450166</v>
      </c>
      <c r="D25" s="2"/>
    </row>
    <row r="26" spans="1:4" ht="16" thickBot="1">
      <c r="A26" s="7">
        <f>A25-1</f>
        <v>2022</v>
      </c>
      <c r="B26" s="36">
        <v>0</v>
      </c>
      <c r="C26" s="36">
        <v>0</v>
      </c>
      <c r="D26" s="2"/>
    </row>
    <row r="27" spans="1:4" ht="16" thickBot="1">
      <c r="A27" s="7">
        <f t="shared" ref="A27:A29" si="0">A26-1</f>
        <v>2021</v>
      </c>
      <c r="B27" s="36">
        <v>0</v>
      </c>
      <c r="C27" s="36">
        <v>0</v>
      </c>
      <c r="D27" s="2"/>
    </row>
    <row r="28" spans="1:4" ht="16" thickBot="1">
      <c r="A28" s="7">
        <f t="shared" si="0"/>
        <v>2020</v>
      </c>
      <c r="B28" s="36">
        <v>0</v>
      </c>
      <c r="C28" s="36">
        <v>0</v>
      </c>
      <c r="D28" s="2"/>
    </row>
    <row r="29" spans="1:4" ht="16" thickBot="1">
      <c r="A29" s="7">
        <f t="shared" si="0"/>
        <v>2019</v>
      </c>
      <c r="B29" s="36" t="s">
        <v>98</v>
      </c>
      <c r="C29" s="36" t="s">
        <v>98</v>
      </c>
      <c r="D29" s="2"/>
    </row>
    <row r="30" spans="1:4">
      <c r="A30" s="2"/>
      <c r="B30" s="2"/>
      <c r="C30" s="2"/>
      <c r="D30" s="2"/>
    </row>
    <row r="31" spans="1:4">
      <c r="A31" s="2"/>
      <c r="B31" s="2"/>
      <c r="C31" s="2"/>
      <c r="D31" s="2"/>
    </row>
    <row r="32" spans="1:4">
      <c r="A32" s="132" t="s">
        <v>32</v>
      </c>
      <c r="B32" s="132"/>
      <c r="C32" s="132"/>
      <c r="D32" s="132"/>
    </row>
  </sheetData>
  <mergeCells count="6">
    <mergeCell ref="A32:D32"/>
    <mergeCell ref="A2:C2"/>
    <mergeCell ref="A3:C3"/>
    <mergeCell ref="A5:A6"/>
    <mergeCell ref="B5:B6"/>
    <mergeCell ref="C5:C6"/>
  </mergeCells>
  <pageMargins left="0.7" right="0.7" top="0.75" bottom="0.75" header="0.3" footer="0.3"/>
  <pageSetup paperSize="5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D26"/>
  <sheetViews>
    <sheetView topLeftCell="A4" workbookViewId="0">
      <selection activeCell="F22" sqref="F22"/>
    </sheetView>
  </sheetViews>
  <sheetFormatPr defaultColWidth="9" defaultRowHeight="14.5"/>
  <cols>
    <col min="1" max="1" width="27.7265625" customWidth="1"/>
    <col min="2" max="2" width="25.453125" customWidth="1"/>
    <col min="3" max="3" width="23" customWidth="1"/>
  </cols>
  <sheetData>
    <row r="1" spans="1:4" ht="15" customHeight="1">
      <c r="A1" s="139" t="s">
        <v>0</v>
      </c>
      <c r="B1" s="139"/>
      <c r="C1" s="139"/>
      <c r="D1" s="2"/>
    </row>
    <row r="2" spans="1:4" ht="15.5">
      <c r="A2" s="139" t="s">
        <v>96</v>
      </c>
      <c r="B2" s="139"/>
      <c r="C2" s="139"/>
      <c r="D2" s="2"/>
    </row>
    <row r="3" spans="1:4" ht="15.5">
      <c r="A3" s="139" t="s">
        <v>94</v>
      </c>
      <c r="B3" s="139"/>
      <c r="C3" s="139"/>
      <c r="D3" s="2"/>
    </row>
    <row r="4" spans="1:4" ht="15" thickBot="1">
      <c r="A4" s="2"/>
      <c r="B4" s="2"/>
      <c r="C4" s="2"/>
      <c r="D4" s="2"/>
    </row>
    <row r="5" spans="1:4" ht="31.5" thickBot="1">
      <c r="A5" s="9" t="s">
        <v>60</v>
      </c>
      <c r="B5" s="8" t="s">
        <v>30</v>
      </c>
      <c r="C5" s="8" t="s">
        <v>35</v>
      </c>
      <c r="D5" s="2"/>
    </row>
    <row r="6" spans="1:4" ht="16" thickBot="1">
      <c r="A6" s="16">
        <v>1</v>
      </c>
      <c r="B6" s="17">
        <v>2</v>
      </c>
      <c r="C6" s="17">
        <v>3</v>
      </c>
      <c r="D6" s="2"/>
    </row>
    <row r="7" spans="1:4" ht="16" thickBot="1">
      <c r="A7" s="6" t="s">
        <v>2</v>
      </c>
      <c r="B7" s="34">
        <f>'[1]REKAP PEL NON PUD 2023'!$B$47</f>
        <v>1280</v>
      </c>
      <c r="C7" s="34">
        <f>'[1]REKAP PEL NON PUD 2023'!$B$54/1000</f>
        <v>20505</v>
      </c>
      <c r="D7" s="2"/>
    </row>
    <row r="8" spans="1:4" ht="16" thickBot="1">
      <c r="A8" s="6" t="s">
        <v>3</v>
      </c>
      <c r="B8" s="34">
        <f>'[1]REKAP PEL NON PUD 2023'!$C$47</f>
        <v>1270</v>
      </c>
      <c r="C8" s="34">
        <f>'[1]REKAP PEL NON PUD 2023'!$C$54/1000</f>
        <v>20400</v>
      </c>
      <c r="D8" s="2"/>
    </row>
    <row r="9" spans="1:4" ht="16" thickBot="1">
      <c r="A9" s="6" t="s">
        <v>4</v>
      </c>
      <c r="B9" s="34">
        <f>'[1]REKAP PEL NON PUD 2023'!$D$47</f>
        <v>1324</v>
      </c>
      <c r="C9" s="34">
        <f>'[1]REKAP PEL NON PUD 2023'!$D$54/1000</f>
        <v>22890</v>
      </c>
      <c r="D9" s="2"/>
    </row>
    <row r="10" spans="1:4" ht="16" thickBot="1">
      <c r="A10" s="6" t="s">
        <v>5</v>
      </c>
      <c r="B10" s="34">
        <f>'[1]REKAP PEL NON PUD 2023'!$E$47</f>
        <v>2710</v>
      </c>
      <c r="C10" s="34">
        <f>'[1]REKAP PEL NON PUD 2023'!$E$54/1000</f>
        <v>43190</v>
      </c>
      <c r="D10" s="2"/>
    </row>
    <row r="11" spans="1:4" ht="16" thickBot="1">
      <c r="A11" s="6" t="s">
        <v>6</v>
      </c>
      <c r="B11" s="34">
        <f>'[1]REKAP PEL NON PUD 2023'!$F$47</f>
        <v>3220</v>
      </c>
      <c r="C11" s="34">
        <f>'[1]REKAP PEL NON PUD 2023'!$F$54/1000</f>
        <v>51700</v>
      </c>
      <c r="D11" s="2"/>
    </row>
    <row r="12" spans="1:4" ht="16" thickBot="1">
      <c r="A12" s="6" t="s">
        <v>7</v>
      </c>
      <c r="B12" s="34">
        <f>'[1]REKAP PEL NON PUD 2023'!$G$47</f>
        <v>3464</v>
      </c>
      <c r="C12" s="34">
        <f>'[1]REKAP PEL NON PUD 2023'!$G$54/1000</f>
        <v>55615</v>
      </c>
      <c r="D12" s="2"/>
    </row>
    <row r="13" spans="1:4" ht="16" thickBot="1">
      <c r="A13" s="6" t="s">
        <v>8</v>
      </c>
      <c r="B13" s="34">
        <f>'[1]REKAP PEL NON PUD 2023'!$H$47</f>
        <v>2096</v>
      </c>
      <c r="C13" s="34">
        <f>'[1]REKAP PEL NON PUD 2023'!$H$54/1000</f>
        <v>33945</v>
      </c>
      <c r="D13" s="2"/>
    </row>
    <row r="14" spans="1:4" ht="16" thickBot="1">
      <c r="A14" s="6" t="s">
        <v>9</v>
      </c>
      <c r="B14" s="34">
        <f>'[1]REKAP PEL NON PUD 2023'!$I$47</f>
        <v>1880</v>
      </c>
      <c r="C14" s="34">
        <f>'[1]REKAP PEL NON PUD 2023'!$I$54/1000</f>
        <v>30315</v>
      </c>
      <c r="D14" s="2"/>
    </row>
    <row r="15" spans="1:4" ht="16" thickBot="1">
      <c r="A15" s="6" t="s">
        <v>10</v>
      </c>
      <c r="B15" s="34">
        <f>'[1]REKAP PEL NON PUD 2023'!$J$47</f>
        <v>2120</v>
      </c>
      <c r="C15" s="34">
        <f>'[1]REKAP PEL NON PUD 2023'!$J$54/1000</f>
        <v>35205</v>
      </c>
      <c r="D15" s="2"/>
    </row>
    <row r="16" spans="1:4" ht="16" thickBot="1">
      <c r="A16" s="6" t="s">
        <v>11</v>
      </c>
      <c r="B16" s="34">
        <f>'[1]REKAP PEL NON PUD 2023'!$K$47</f>
        <v>2760</v>
      </c>
      <c r="C16" s="34">
        <f>'[1]REKAP PEL NON PUD 2023'!$K$54/1000</f>
        <v>46000</v>
      </c>
      <c r="D16" s="2"/>
    </row>
    <row r="17" spans="1:4" ht="16" thickBot="1">
      <c r="A17" s="6" t="s">
        <v>12</v>
      </c>
      <c r="B17" s="34">
        <f>'[1]REKAP PEL NON PUD 2023'!$L$47</f>
        <v>2312</v>
      </c>
      <c r="C17" s="34">
        <f>'[1]REKAP PEL NON PUD 2023'!$L$54/1000</f>
        <v>39246</v>
      </c>
      <c r="D17" s="2"/>
    </row>
    <row r="18" spans="1:4" ht="16" thickBot="1">
      <c r="A18" s="6" t="s">
        <v>13</v>
      </c>
      <c r="B18" s="34">
        <f>'[1]REKAP PEL NON PUD 2023'!$M$47</f>
        <v>3048</v>
      </c>
      <c r="C18" s="34">
        <f>'[1]REKAP PEL NON PUD 2023'!$M$54/1000</f>
        <v>51155</v>
      </c>
      <c r="D18" s="2"/>
    </row>
    <row r="19" spans="1:4" ht="16" thickBot="1">
      <c r="A19" s="7">
        <v>2023</v>
      </c>
      <c r="B19" s="24">
        <f>SUM(B7:B18)</f>
        <v>27484</v>
      </c>
      <c r="C19" s="24">
        <f>SUM(C7:C18)</f>
        <v>450166</v>
      </c>
      <c r="D19" s="2"/>
    </row>
    <row r="20" spans="1:4" ht="16" thickBot="1">
      <c r="A20" s="7">
        <f>A19-1</f>
        <v>2022</v>
      </c>
      <c r="B20" s="36">
        <v>0</v>
      </c>
      <c r="C20" s="36">
        <v>0</v>
      </c>
      <c r="D20" s="2"/>
    </row>
    <row r="21" spans="1:4" ht="16" thickBot="1">
      <c r="A21" s="7">
        <f t="shared" ref="A21:A23" si="0">A20-1</f>
        <v>2021</v>
      </c>
      <c r="B21" s="36">
        <v>0</v>
      </c>
      <c r="C21" s="36">
        <v>0</v>
      </c>
      <c r="D21" s="2"/>
    </row>
    <row r="22" spans="1:4" ht="16" thickBot="1">
      <c r="A22" s="7">
        <f t="shared" si="0"/>
        <v>2020</v>
      </c>
      <c r="B22" s="36">
        <v>0</v>
      </c>
      <c r="C22" s="36">
        <v>0</v>
      </c>
      <c r="D22" s="2"/>
    </row>
    <row r="23" spans="1:4" ht="16" thickBot="1">
      <c r="A23" s="7">
        <f t="shared" si="0"/>
        <v>2019</v>
      </c>
      <c r="B23" s="36" t="s">
        <v>98</v>
      </c>
      <c r="C23" s="36" t="s">
        <v>98</v>
      </c>
      <c r="D23" s="2"/>
    </row>
    <row r="24" spans="1:4">
      <c r="A24" s="2"/>
      <c r="B24" s="2"/>
      <c r="C24" s="2"/>
      <c r="D24" s="2"/>
    </row>
    <row r="25" spans="1:4">
      <c r="A25" s="2"/>
      <c r="B25" s="2"/>
      <c r="C25" s="2"/>
      <c r="D25" s="2"/>
    </row>
    <row r="26" spans="1:4">
      <c r="A26" s="132" t="s">
        <v>32</v>
      </c>
      <c r="B26" s="132"/>
      <c r="C26" s="132"/>
      <c r="D26" s="132"/>
    </row>
  </sheetData>
  <mergeCells count="4">
    <mergeCell ref="A1:C1"/>
    <mergeCell ref="A2:C2"/>
    <mergeCell ref="A3:C3"/>
    <mergeCell ref="A26:D26"/>
  </mergeCells>
  <pageMargins left="0.7" right="0.7" top="0.75" bottom="0.75" header="0.3" footer="0.3"/>
  <pageSetup paperSize="5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D32"/>
  <sheetViews>
    <sheetView view="pageLayout" topLeftCell="A10" zoomScale="85" zoomScalePageLayoutView="85" workbookViewId="0">
      <selection activeCell="C7" sqref="C7"/>
    </sheetView>
  </sheetViews>
  <sheetFormatPr defaultColWidth="9" defaultRowHeight="14.5"/>
  <cols>
    <col min="1" max="1" width="27.7265625" customWidth="1"/>
    <col min="2" max="2" width="22.81640625" customWidth="1"/>
    <col min="3" max="3" width="23" customWidth="1"/>
  </cols>
  <sheetData>
    <row r="1" spans="1:4" ht="15.5">
      <c r="A1" s="2"/>
      <c r="B1" s="22" t="s">
        <v>0</v>
      </c>
      <c r="C1" s="2"/>
      <c r="D1" s="2"/>
    </row>
    <row r="2" spans="1:4" ht="15.5">
      <c r="A2" s="140" t="s">
        <v>67</v>
      </c>
      <c r="B2" s="140"/>
      <c r="C2" s="140"/>
      <c r="D2" s="2"/>
    </row>
    <row r="3" spans="1:4" ht="15.5">
      <c r="A3" s="140" t="s">
        <v>95</v>
      </c>
      <c r="B3" s="140"/>
      <c r="C3" s="140"/>
      <c r="D3" s="2"/>
    </row>
    <row r="4" spans="1:4" ht="15" thickBot="1">
      <c r="A4" s="2"/>
      <c r="B4" s="2"/>
      <c r="C4" s="2"/>
      <c r="D4" s="2"/>
    </row>
    <row r="5" spans="1:4" ht="44.25" customHeight="1">
      <c r="A5" s="141" t="s">
        <v>37</v>
      </c>
      <c r="B5" s="143" t="s">
        <v>109</v>
      </c>
      <c r="C5" s="143" t="s">
        <v>65</v>
      </c>
      <c r="D5" s="2"/>
    </row>
    <row r="6" spans="1:4" ht="15" thickBot="1">
      <c r="A6" s="142"/>
      <c r="B6" s="144"/>
      <c r="C6" s="144"/>
      <c r="D6" s="2"/>
    </row>
    <row r="7" spans="1:4" ht="15" thickBot="1">
      <c r="A7" s="13">
        <v>1</v>
      </c>
      <c r="B7" s="14">
        <v>2</v>
      </c>
      <c r="C7" s="14">
        <v>3</v>
      </c>
      <c r="D7" s="2"/>
    </row>
    <row r="8" spans="1:4" ht="16" thickBot="1">
      <c r="A8" s="15" t="s">
        <v>39</v>
      </c>
      <c r="B8" s="104">
        <v>0</v>
      </c>
      <c r="C8" s="104">
        <v>0</v>
      </c>
      <c r="D8" s="2"/>
    </row>
    <row r="9" spans="1:4" ht="16" thickBot="1">
      <c r="A9" s="15" t="s">
        <v>40</v>
      </c>
      <c r="B9" s="104">
        <v>0</v>
      </c>
      <c r="C9" s="104">
        <v>0</v>
      </c>
      <c r="D9" s="2"/>
    </row>
    <row r="10" spans="1:4" ht="16" thickBot="1">
      <c r="A10" s="15" t="s">
        <v>41</v>
      </c>
      <c r="B10" s="104">
        <v>0</v>
      </c>
      <c r="C10" s="104">
        <v>0</v>
      </c>
      <c r="D10" s="2"/>
    </row>
    <row r="11" spans="1:4" ht="16" thickBot="1">
      <c r="A11" s="15" t="s">
        <v>42</v>
      </c>
      <c r="B11" s="104">
        <v>0</v>
      </c>
      <c r="C11" s="104">
        <v>0</v>
      </c>
      <c r="D11" s="2"/>
    </row>
    <row r="12" spans="1:4" ht="16" thickBot="1">
      <c r="A12" s="15" t="s">
        <v>43</v>
      </c>
      <c r="B12" s="104">
        <v>0</v>
      </c>
      <c r="C12" s="104">
        <v>0</v>
      </c>
      <c r="D12" s="2"/>
    </row>
    <row r="13" spans="1:4" ht="16" thickBot="1">
      <c r="A13" s="15" t="s">
        <v>44</v>
      </c>
      <c r="B13" s="104">
        <v>0</v>
      </c>
      <c r="C13" s="104">
        <v>0</v>
      </c>
      <c r="D13" s="2"/>
    </row>
    <row r="14" spans="1:4" ht="16" thickBot="1">
      <c r="A14" s="15" t="s">
        <v>45</v>
      </c>
      <c r="B14" s="104">
        <v>0</v>
      </c>
      <c r="C14" s="104">
        <v>0</v>
      </c>
      <c r="D14" s="2"/>
    </row>
    <row r="15" spans="1:4" ht="16" thickBot="1">
      <c r="A15" s="15" t="s">
        <v>46</v>
      </c>
      <c r="B15" s="104">
        <v>0</v>
      </c>
      <c r="C15" s="104">
        <v>0</v>
      </c>
      <c r="D15" s="2"/>
    </row>
    <row r="16" spans="1:4" ht="16" thickBot="1">
      <c r="A16" s="15" t="s">
        <v>47</v>
      </c>
      <c r="B16" s="104">
        <v>0</v>
      </c>
      <c r="C16" s="104">
        <v>0</v>
      </c>
      <c r="D16" s="2"/>
    </row>
    <row r="17" spans="1:4" ht="16" thickBot="1">
      <c r="A17" s="15" t="s">
        <v>48</v>
      </c>
      <c r="B17" s="32">
        <f>[2]PAYAU!$K$6</f>
        <v>18882675</v>
      </c>
      <c r="C17" s="32">
        <f>[2]PAYAU!$L$6/1000</f>
        <v>18882675</v>
      </c>
      <c r="D17" s="2"/>
    </row>
    <row r="18" spans="1:4" ht="16" thickBot="1">
      <c r="A18" s="15" t="s">
        <v>49</v>
      </c>
      <c r="B18" s="32">
        <v>0</v>
      </c>
      <c r="C18" s="32">
        <v>0</v>
      </c>
      <c r="D18" s="2"/>
    </row>
    <row r="19" spans="1:4" ht="16" thickBot="1">
      <c r="A19" s="15" t="s">
        <v>50</v>
      </c>
      <c r="B19" s="32">
        <v>0</v>
      </c>
      <c r="C19" s="32">
        <v>0</v>
      </c>
      <c r="D19" s="2"/>
    </row>
    <row r="20" spans="1:4" ht="16" thickBot="1">
      <c r="A20" s="15" t="s">
        <v>51</v>
      </c>
      <c r="B20" s="32">
        <v>0</v>
      </c>
      <c r="C20" s="32">
        <v>0</v>
      </c>
      <c r="D20" s="2"/>
    </row>
    <row r="21" spans="1:4" ht="16" thickBot="1">
      <c r="A21" s="15" t="s">
        <v>52</v>
      </c>
      <c r="B21" s="32">
        <v>0</v>
      </c>
      <c r="C21" s="32">
        <v>0</v>
      </c>
      <c r="D21" s="2"/>
    </row>
    <row r="22" spans="1:4" ht="16" thickBot="1">
      <c r="A22" s="15" t="s">
        <v>53</v>
      </c>
      <c r="B22" s="32">
        <v>0</v>
      </c>
      <c r="C22" s="32">
        <v>0</v>
      </c>
      <c r="D22" s="2"/>
    </row>
    <row r="23" spans="1:4" ht="16" thickBot="1">
      <c r="A23" s="15" t="s">
        <v>54</v>
      </c>
      <c r="B23" s="32">
        <v>0</v>
      </c>
      <c r="C23" s="32">
        <v>0</v>
      </c>
      <c r="D23" s="2"/>
    </row>
    <row r="24" spans="1:4" ht="16" thickBot="1">
      <c r="A24" s="15" t="s">
        <v>55</v>
      </c>
      <c r="B24" s="130">
        <f>[2]PAYAU!$K$10</f>
        <v>44801358.5</v>
      </c>
      <c r="C24" s="130">
        <f>[2]PAYAU!$L$10/1000</f>
        <v>44801358.5</v>
      </c>
      <c r="D24" s="2"/>
    </row>
    <row r="25" spans="1:4" ht="16" thickBot="1">
      <c r="A25" s="7">
        <v>2023</v>
      </c>
      <c r="B25" s="129">
        <f>SUM(B8:B24)</f>
        <v>63684033.5</v>
      </c>
      <c r="C25" s="129">
        <f>SUM(C8:C24)</f>
        <v>63684033.5</v>
      </c>
      <c r="D25" s="2"/>
    </row>
    <row r="26" spans="1:4" ht="16" thickBot="1">
      <c r="A26" s="7">
        <f>A25-1</f>
        <v>2022</v>
      </c>
      <c r="B26" s="25">
        <v>61798106</v>
      </c>
      <c r="C26" s="25">
        <v>61798106</v>
      </c>
      <c r="D26" s="2"/>
    </row>
    <row r="27" spans="1:4" ht="16" thickBot="1">
      <c r="A27" s="7">
        <f t="shared" ref="A27:A29" si="0">A26-1</f>
        <v>2021</v>
      </c>
      <c r="B27" s="25">
        <v>55392335</v>
      </c>
      <c r="C27" s="25">
        <v>55392335</v>
      </c>
      <c r="D27" s="2"/>
    </row>
    <row r="28" spans="1:4" ht="16" thickBot="1">
      <c r="A28" s="7">
        <f t="shared" si="0"/>
        <v>2020</v>
      </c>
      <c r="B28" s="25">
        <v>55428503</v>
      </c>
      <c r="C28" s="25">
        <v>55428503</v>
      </c>
      <c r="D28" s="2"/>
    </row>
    <row r="29" spans="1:4" ht="16" thickBot="1">
      <c r="A29" s="7">
        <f t="shared" si="0"/>
        <v>2019</v>
      </c>
      <c r="B29" s="47">
        <v>53964172</v>
      </c>
      <c r="C29" s="47">
        <v>53964172</v>
      </c>
      <c r="D29" s="2"/>
    </row>
    <row r="30" spans="1:4">
      <c r="A30" s="2"/>
      <c r="B30" s="2"/>
      <c r="C30" s="2"/>
      <c r="D30" s="2"/>
    </row>
    <row r="31" spans="1:4">
      <c r="A31" s="2"/>
      <c r="B31" s="2"/>
      <c r="C31" s="2"/>
      <c r="D31" s="2"/>
    </row>
    <row r="32" spans="1:4">
      <c r="A32" s="132" t="s">
        <v>32</v>
      </c>
      <c r="B32" s="132"/>
      <c r="C32" s="132"/>
      <c r="D32" s="132"/>
    </row>
  </sheetData>
  <mergeCells count="6">
    <mergeCell ref="A32:D32"/>
    <mergeCell ref="A2:C2"/>
    <mergeCell ref="A3:C3"/>
    <mergeCell ref="A5:A6"/>
    <mergeCell ref="B5:B6"/>
    <mergeCell ref="C5:C6"/>
  </mergeCells>
  <pageMargins left="0.7" right="0.7" top="0.75" bottom="0.75" header="0.3" footer="0.3"/>
  <pageSetup paperSize="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D26"/>
  <sheetViews>
    <sheetView topLeftCell="A4" zoomScalePageLayoutView="66" workbookViewId="0">
      <selection activeCell="B5" sqref="B5:B6"/>
    </sheetView>
  </sheetViews>
  <sheetFormatPr defaultColWidth="9" defaultRowHeight="14.5"/>
  <cols>
    <col min="1" max="1" width="27.7265625" customWidth="1"/>
    <col min="2" max="2" width="22.81640625" style="21" customWidth="1"/>
    <col min="3" max="3" width="23" customWidth="1"/>
  </cols>
  <sheetData>
    <row r="1" spans="1:4" ht="15.5">
      <c r="A1" s="140" t="s">
        <v>0</v>
      </c>
      <c r="B1" s="140"/>
      <c r="C1" s="140"/>
      <c r="D1" s="140"/>
    </row>
    <row r="2" spans="1:4" ht="15.5">
      <c r="A2" s="140" t="s">
        <v>63</v>
      </c>
      <c r="B2" s="140"/>
      <c r="C2" s="140"/>
      <c r="D2" s="140"/>
    </row>
    <row r="3" spans="1:4" ht="15.5">
      <c r="A3" s="140" t="s">
        <v>94</v>
      </c>
      <c r="B3" s="140"/>
      <c r="C3" s="140"/>
      <c r="D3" s="140"/>
    </row>
    <row r="4" spans="1:4" ht="15" thickBot="1">
      <c r="A4" s="2"/>
      <c r="B4" s="19"/>
      <c r="C4" s="2"/>
      <c r="D4" s="2"/>
    </row>
    <row r="5" spans="1:4" ht="63" customHeight="1">
      <c r="A5" s="145" t="s">
        <v>60</v>
      </c>
      <c r="B5" s="134" t="s">
        <v>62</v>
      </c>
      <c r="C5" s="134" t="s">
        <v>64</v>
      </c>
      <c r="D5" s="2"/>
    </row>
    <row r="6" spans="1:4" ht="15" thickBot="1">
      <c r="A6" s="146"/>
      <c r="B6" s="147"/>
      <c r="C6" s="147"/>
      <c r="D6" s="2"/>
    </row>
    <row r="7" spans="1:4" ht="16" thickBot="1">
      <c r="A7" s="16">
        <v>1</v>
      </c>
      <c r="B7" s="20">
        <v>2</v>
      </c>
      <c r="C7" s="18">
        <v>3</v>
      </c>
      <c r="D7" s="2"/>
    </row>
    <row r="8" spans="1:4" ht="16" thickBot="1">
      <c r="A8" s="6" t="s">
        <v>2</v>
      </c>
      <c r="B8" s="131">
        <f>'[3]REKAP TW 1-4 PAYAU 2023'!$E$11</f>
        <v>4570000</v>
      </c>
      <c r="C8" s="131">
        <f>'[3]REKAP TW 1-4 PAYAU 2023'!$E$46/1000</f>
        <v>4570000</v>
      </c>
      <c r="D8" s="2"/>
    </row>
    <row r="9" spans="1:4" ht="16" thickBot="1">
      <c r="A9" s="6" t="s">
        <v>3</v>
      </c>
      <c r="B9" s="131">
        <f>'[3]REKAP TW 1-4 PAYAU 2023'!$F$11</f>
        <v>4535500</v>
      </c>
      <c r="C9" s="131">
        <f>'[3]REKAP TW 1-4 PAYAU 2023'!$F$46/1000</f>
        <v>4535500</v>
      </c>
      <c r="D9" s="2"/>
    </row>
    <row r="10" spans="1:4" ht="16" thickBot="1">
      <c r="A10" s="6" t="s">
        <v>4</v>
      </c>
      <c r="B10" s="131">
        <f>'[3]REKAP TW 1-4 PAYAU 2023'!$G$11</f>
        <v>4364000</v>
      </c>
      <c r="C10" s="131">
        <f>'[3]REKAP TW 1-4 PAYAU 2023'!$G$46/1000</f>
        <v>4364000</v>
      </c>
      <c r="D10" s="2"/>
    </row>
    <row r="11" spans="1:4" ht="16" thickBot="1">
      <c r="A11" s="6" t="s">
        <v>5</v>
      </c>
      <c r="B11" s="131">
        <f>'[3]REKAP TW 1-4 PAYAU 2023'!$H$11</f>
        <v>3720291</v>
      </c>
      <c r="C11" s="131">
        <f>'[3]REKAP TW 1-4 PAYAU 2023'!$H$46/1000</f>
        <v>3720291</v>
      </c>
      <c r="D11" s="2"/>
    </row>
    <row r="12" spans="1:4" ht="16" thickBot="1">
      <c r="A12" s="6" t="s">
        <v>6</v>
      </c>
      <c r="B12" s="131">
        <f>'[3]REKAP TW 1-4 PAYAU 2023'!$I$11</f>
        <v>3954660</v>
      </c>
      <c r="C12" s="131">
        <f>'[3]REKAP TW 1-4 PAYAU 2023'!$I$46/1000</f>
        <v>3954660</v>
      </c>
      <c r="D12" s="2"/>
    </row>
    <row r="13" spans="1:4" ht="16" thickBot="1">
      <c r="A13" s="6" t="s">
        <v>7</v>
      </c>
      <c r="B13" s="131">
        <f>'[3]REKAP TW 1-4 PAYAU 2023'!$J$11</f>
        <v>4194500</v>
      </c>
      <c r="C13" s="131">
        <f>'[3]REKAP TW 1-4 PAYAU 2023'!$J$46/1000</f>
        <v>4194500</v>
      </c>
      <c r="D13" s="2"/>
    </row>
    <row r="14" spans="1:4" ht="16" thickBot="1">
      <c r="A14" s="6" t="s">
        <v>8</v>
      </c>
      <c r="B14" s="131">
        <f>'[3]REKAP TW 1-4 PAYAU 2023'!$K$11</f>
        <v>6027000</v>
      </c>
      <c r="C14" s="131">
        <f>'[3]REKAP TW 1-4 PAYAU 2023'!$K$46/1000</f>
        <v>6027000</v>
      </c>
      <c r="D14" s="2"/>
    </row>
    <row r="15" spans="1:4" ht="16" thickBot="1">
      <c r="A15" s="6" t="s">
        <v>9</v>
      </c>
      <c r="B15" s="131">
        <f>'[3]REKAP TW 1-4 PAYAU 2023'!$L$11</f>
        <v>6345800</v>
      </c>
      <c r="C15" s="131">
        <f>'[3]REKAP TW 1-4 PAYAU 2023'!$L$46/1000</f>
        <v>6345800</v>
      </c>
      <c r="D15" s="2"/>
    </row>
    <row r="16" spans="1:4" ht="16" thickBot="1">
      <c r="A16" s="6" t="s">
        <v>10</v>
      </c>
      <c r="B16" s="131">
        <f>'[3]REKAP TW 1-4 PAYAU 2023'!$M$11</f>
        <v>6878000</v>
      </c>
      <c r="C16" s="131">
        <f>'[3]REKAP TW 1-4 PAYAU 2023'!$M$46/1000</f>
        <v>6878000</v>
      </c>
      <c r="D16" s="2"/>
    </row>
    <row r="17" spans="1:4" ht="16" thickBot="1">
      <c r="A17" s="6" t="s">
        <v>11</v>
      </c>
      <c r="B17" s="131">
        <f>'[3]REKAP TW 1-4 PAYAU 2023'!$N$11</f>
        <v>6250282.5</v>
      </c>
      <c r="C17" s="131">
        <f>'[3]REKAP TW 1-4 PAYAU 2023'!$N$46/1000</f>
        <v>6250282.5</v>
      </c>
      <c r="D17" s="2"/>
    </row>
    <row r="18" spans="1:4" ht="16" thickBot="1">
      <c r="A18" s="6" t="s">
        <v>12</v>
      </c>
      <c r="B18" s="131">
        <f>'[3]REKAP TW 1-4 PAYAU 2023'!$O$11</f>
        <v>6222000</v>
      </c>
      <c r="C18" s="131">
        <f>'[3]REKAP TW 1-4 PAYAU 2023'!$O$46/1000</f>
        <v>6222000</v>
      </c>
      <c r="D18" s="2"/>
    </row>
    <row r="19" spans="1:4" ht="16" thickBot="1">
      <c r="A19" s="6" t="s">
        <v>13</v>
      </c>
      <c r="B19" s="131">
        <f>'[3]REKAP TW 1-4 PAYAU 2023'!$P$11</f>
        <v>6622000</v>
      </c>
      <c r="C19" s="131">
        <f>'[3]REKAP TW 1-4 PAYAU 2023'!$P$46/1000</f>
        <v>6622000</v>
      </c>
      <c r="D19" s="2"/>
    </row>
    <row r="20" spans="1:4" ht="16" thickBot="1">
      <c r="A20" s="7">
        <v>2023</v>
      </c>
      <c r="B20" s="37">
        <f>SUM(B8:B19)</f>
        <v>63684033.5</v>
      </c>
      <c r="C20" s="37">
        <f>SUM(C8:C19)</f>
        <v>63684033.5</v>
      </c>
      <c r="D20" s="2"/>
    </row>
    <row r="21" spans="1:4" ht="16" thickBot="1">
      <c r="A21" s="7">
        <f>A20-1</f>
        <v>2022</v>
      </c>
      <c r="B21" s="37">
        <v>61798106</v>
      </c>
      <c r="C21" s="25">
        <v>61798106</v>
      </c>
      <c r="D21" s="2"/>
    </row>
    <row r="22" spans="1:4" ht="16" thickBot="1">
      <c r="A22" s="7">
        <f t="shared" ref="A22:A24" si="0">A21-1</f>
        <v>2021</v>
      </c>
      <c r="B22" s="25">
        <v>55392335</v>
      </c>
      <c r="C22" s="25">
        <v>55392335</v>
      </c>
      <c r="D22" s="2"/>
    </row>
    <row r="23" spans="1:4" ht="16" thickBot="1">
      <c r="A23" s="7">
        <f t="shared" si="0"/>
        <v>2020</v>
      </c>
      <c r="B23" s="25">
        <v>55428503</v>
      </c>
      <c r="C23" s="25">
        <v>55428503</v>
      </c>
      <c r="D23" s="2"/>
    </row>
    <row r="24" spans="1:4" ht="16" thickBot="1">
      <c r="A24" s="7">
        <f t="shared" si="0"/>
        <v>2019</v>
      </c>
      <c r="B24" s="47">
        <v>53964172</v>
      </c>
      <c r="C24" s="47">
        <v>53964172</v>
      </c>
      <c r="D24" s="2"/>
    </row>
    <row r="25" spans="1:4">
      <c r="A25" s="2"/>
      <c r="B25" s="19"/>
      <c r="C25" s="2"/>
      <c r="D25" s="2"/>
    </row>
    <row r="26" spans="1:4">
      <c r="A26" s="132" t="s">
        <v>32</v>
      </c>
      <c r="B26" s="132"/>
      <c r="C26" s="132"/>
      <c r="D26" s="132"/>
    </row>
  </sheetData>
  <mergeCells count="7">
    <mergeCell ref="A26:D26"/>
    <mergeCell ref="A1:D1"/>
    <mergeCell ref="A2:D2"/>
    <mergeCell ref="A3:D3"/>
    <mergeCell ref="A5:A6"/>
    <mergeCell ref="B5:B6"/>
    <mergeCell ref="C5:C6"/>
  </mergeCells>
  <pageMargins left="0.7" right="0.7" top="0.75" bottom="0.75" header="0.3" footer="0.3"/>
  <pageSetup paperSize="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D32"/>
  <sheetViews>
    <sheetView topLeftCell="A13" zoomScaleNormal="100" workbookViewId="0">
      <selection activeCell="B17" sqref="B17:C29"/>
    </sheetView>
  </sheetViews>
  <sheetFormatPr defaultColWidth="9" defaultRowHeight="14.5"/>
  <cols>
    <col min="1" max="1" width="27.7265625" customWidth="1"/>
    <col min="2" max="3" width="22.81640625" customWidth="1"/>
  </cols>
  <sheetData>
    <row r="1" spans="1:4" ht="15.5">
      <c r="A1" s="140" t="s">
        <v>0</v>
      </c>
      <c r="B1" s="140"/>
      <c r="C1" s="140"/>
      <c r="D1" s="2"/>
    </row>
    <row r="2" spans="1:4" ht="15.5">
      <c r="A2" s="140" t="s">
        <v>68</v>
      </c>
      <c r="B2" s="140"/>
      <c r="C2" s="140"/>
      <c r="D2" s="2"/>
    </row>
    <row r="3" spans="1:4" ht="15.5">
      <c r="A3" s="140" t="s">
        <v>95</v>
      </c>
      <c r="B3" s="140"/>
      <c r="C3" s="140"/>
      <c r="D3" s="2"/>
    </row>
    <row r="4" spans="1:4" ht="15" thickBot="1">
      <c r="A4" s="2"/>
      <c r="B4" s="2"/>
      <c r="C4" s="2"/>
      <c r="D4" s="2"/>
    </row>
    <row r="5" spans="1:4" ht="63" customHeight="1">
      <c r="A5" s="134" t="s">
        <v>37</v>
      </c>
      <c r="B5" s="134" t="s">
        <v>66</v>
      </c>
      <c r="C5" s="134" t="s">
        <v>31</v>
      </c>
      <c r="D5" s="2"/>
    </row>
    <row r="6" spans="1:4" ht="15" thickBot="1">
      <c r="A6" s="135"/>
      <c r="B6" s="147"/>
      <c r="C6" s="147"/>
      <c r="D6" s="2"/>
    </row>
    <row r="7" spans="1:4" ht="16" thickBot="1">
      <c r="A7" s="4">
        <v>1</v>
      </c>
      <c r="B7" s="5">
        <v>2</v>
      </c>
      <c r="C7" s="5">
        <v>3</v>
      </c>
      <c r="D7" s="2"/>
    </row>
    <row r="8" spans="1:4" ht="16" thickBot="1">
      <c r="A8" s="6" t="s">
        <v>39</v>
      </c>
      <c r="B8" s="48">
        <v>0</v>
      </c>
      <c r="C8" s="51">
        <v>0</v>
      </c>
      <c r="D8" s="2"/>
    </row>
    <row r="9" spans="1:4" ht="16" thickBot="1">
      <c r="A9" s="6" t="s">
        <v>40</v>
      </c>
      <c r="B9" s="49">
        <v>0</v>
      </c>
      <c r="C9" s="51">
        <v>0</v>
      </c>
      <c r="D9" s="2"/>
    </row>
    <row r="10" spans="1:4" ht="16" thickBot="1">
      <c r="A10" s="6" t="s">
        <v>41</v>
      </c>
      <c r="B10" s="49">
        <v>0</v>
      </c>
      <c r="C10" s="51">
        <v>0</v>
      </c>
      <c r="D10" s="2"/>
    </row>
    <row r="11" spans="1:4" ht="16" thickBot="1">
      <c r="A11" s="6" t="s">
        <v>42</v>
      </c>
      <c r="B11" s="50">
        <v>0</v>
      </c>
      <c r="C11" s="51">
        <v>0</v>
      </c>
      <c r="D11" s="2"/>
    </row>
    <row r="12" spans="1:4" ht="16" thickBot="1">
      <c r="A12" s="6" t="s">
        <v>43</v>
      </c>
      <c r="B12" s="50">
        <v>0</v>
      </c>
      <c r="C12" s="51">
        <v>0</v>
      </c>
      <c r="D12" s="2"/>
    </row>
    <row r="13" spans="1:4" ht="16" thickBot="1">
      <c r="A13" s="6" t="s">
        <v>44</v>
      </c>
      <c r="B13" s="50">
        <v>0</v>
      </c>
      <c r="C13" s="51">
        <v>0</v>
      </c>
      <c r="D13" s="2"/>
    </row>
    <row r="14" spans="1:4" ht="16" thickBot="1">
      <c r="A14" s="6" t="s">
        <v>45</v>
      </c>
      <c r="B14" s="52">
        <v>0</v>
      </c>
      <c r="C14" s="51">
        <v>0</v>
      </c>
      <c r="D14" s="2"/>
    </row>
    <row r="15" spans="1:4" ht="16" thickBot="1">
      <c r="A15" s="6" t="s">
        <v>46</v>
      </c>
      <c r="B15" s="53">
        <v>0</v>
      </c>
      <c r="C15" s="51">
        <v>0</v>
      </c>
      <c r="D15" s="2"/>
    </row>
    <row r="16" spans="1:4" ht="16" thickBot="1">
      <c r="A16" s="6" t="s">
        <v>47</v>
      </c>
      <c r="B16" s="54">
        <v>0</v>
      </c>
      <c r="C16" s="55">
        <v>0</v>
      </c>
      <c r="D16" s="2"/>
    </row>
    <row r="17" spans="1:4" ht="16" thickBot="1">
      <c r="A17" s="6" t="s">
        <v>48</v>
      </c>
      <c r="B17" s="56">
        <f>7417418/1000</f>
        <v>7417.4179999999997</v>
      </c>
      <c r="C17" s="80">
        <f>6434323260/1000</f>
        <v>6434323.2599999998</v>
      </c>
      <c r="D17" s="2"/>
    </row>
    <row r="18" spans="1:4" ht="16" thickBot="1">
      <c r="A18" s="6" t="s">
        <v>49</v>
      </c>
      <c r="B18" s="56">
        <f>6572072/1000</f>
        <v>6572.0720000000001</v>
      </c>
      <c r="C18" s="80">
        <f>7297435880/1000</f>
        <v>7297435.8799999999</v>
      </c>
      <c r="D18" s="2"/>
    </row>
    <row r="19" spans="1:4" ht="16" thickBot="1">
      <c r="A19" s="6" t="s">
        <v>50</v>
      </c>
      <c r="B19" s="50">
        <v>0</v>
      </c>
      <c r="C19" s="83">
        <v>0</v>
      </c>
      <c r="D19" s="2"/>
    </row>
    <row r="20" spans="1:4" ht="16" thickBot="1">
      <c r="A20" s="6" t="s">
        <v>51</v>
      </c>
      <c r="B20" s="57">
        <f>633249/1000</f>
        <v>633.24900000000002</v>
      </c>
      <c r="C20" s="81">
        <f>652608750/1000</f>
        <v>652608.75</v>
      </c>
      <c r="D20" s="2"/>
    </row>
    <row r="21" spans="1:4" ht="16" thickBot="1">
      <c r="A21" s="6" t="s">
        <v>52</v>
      </c>
      <c r="B21" s="57">
        <f>12871200/1000</f>
        <v>12871.2</v>
      </c>
      <c r="C21" s="81">
        <f>10199937500/1000</f>
        <v>10199937.5</v>
      </c>
      <c r="D21" s="2"/>
    </row>
    <row r="22" spans="1:4" ht="16" thickBot="1">
      <c r="A22" s="6" t="s">
        <v>53</v>
      </c>
      <c r="B22" s="53">
        <v>0</v>
      </c>
      <c r="C22" s="82">
        <v>0</v>
      </c>
      <c r="D22" s="2"/>
    </row>
    <row r="23" spans="1:4" ht="16" thickBot="1">
      <c r="A23" s="6" t="s">
        <v>54</v>
      </c>
      <c r="B23" s="50">
        <v>0</v>
      </c>
      <c r="C23" s="83">
        <v>0</v>
      </c>
      <c r="D23" s="2"/>
    </row>
    <row r="24" spans="1:4" ht="16" thickBot="1">
      <c r="A24" s="6" t="s">
        <v>55</v>
      </c>
      <c r="B24" s="58">
        <f>3120350/1000</f>
        <v>3120.35</v>
      </c>
      <c r="C24" s="84">
        <f>3027950000/1000</f>
        <v>3027950</v>
      </c>
      <c r="D24" s="2"/>
    </row>
    <row r="25" spans="1:4" ht="16" thickBot="1">
      <c r="A25" s="7">
        <v>2023</v>
      </c>
      <c r="B25" s="59">
        <f>SUM(B17:B24)</f>
        <v>30614.288999999997</v>
      </c>
      <c r="C25" s="85">
        <f>SUM(C17:C24)</f>
        <v>27612255.390000001</v>
      </c>
      <c r="D25" s="2"/>
    </row>
    <row r="26" spans="1:4" ht="16" thickBot="1">
      <c r="A26" s="7">
        <f>A25-1</f>
        <v>2022</v>
      </c>
      <c r="B26" s="60">
        <f>1204249/1000</f>
        <v>1204.249</v>
      </c>
      <c r="C26" s="86">
        <f>4636358650/1000</f>
        <v>4636358.6500000004</v>
      </c>
      <c r="D26" s="2"/>
    </row>
    <row r="27" spans="1:4" ht="16" thickBot="1">
      <c r="A27" s="7">
        <f t="shared" ref="A27:A29" si="0">A26-1</f>
        <v>2021</v>
      </c>
      <c r="B27" s="61">
        <v>1458.71</v>
      </c>
      <c r="C27" s="87">
        <f>1152383270/1000</f>
        <v>1152383.27</v>
      </c>
      <c r="D27" s="2"/>
    </row>
    <row r="28" spans="1:4" ht="16" thickBot="1">
      <c r="A28" s="7">
        <f t="shared" si="0"/>
        <v>2020</v>
      </c>
      <c r="B28" s="62">
        <v>2410.0300000000002</v>
      </c>
      <c r="C28" s="88">
        <f>1102759400/1000</f>
        <v>1102759.3999999999</v>
      </c>
      <c r="D28" s="2"/>
    </row>
    <row r="29" spans="1:4" ht="16" thickBot="1">
      <c r="A29" s="7">
        <f t="shared" si="0"/>
        <v>2019</v>
      </c>
      <c r="B29" s="41">
        <v>49574.45</v>
      </c>
      <c r="C29" s="89">
        <f>13902181530/1000</f>
        <v>13902181.529999999</v>
      </c>
      <c r="D29" s="2"/>
    </row>
    <row r="30" spans="1:4">
      <c r="A30" s="2"/>
      <c r="B30" s="2"/>
      <c r="C30" s="2"/>
      <c r="D30" s="2"/>
    </row>
    <row r="31" spans="1:4">
      <c r="A31" s="2"/>
      <c r="B31" s="2"/>
      <c r="C31" s="2"/>
      <c r="D31" s="2"/>
    </row>
    <row r="32" spans="1:4">
      <c r="A32" s="132" t="s">
        <v>32</v>
      </c>
      <c r="B32" s="132"/>
      <c r="C32" s="132"/>
      <c r="D32" s="132"/>
    </row>
  </sheetData>
  <mergeCells count="7">
    <mergeCell ref="A32:D32"/>
    <mergeCell ref="A1:C1"/>
    <mergeCell ref="A2:C2"/>
    <mergeCell ref="A3:C3"/>
    <mergeCell ref="A5:A6"/>
    <mergeCell ref="B5:B6"/>
    <mergeCell ref="C5:C6"/>
  </mergeCells>
  <pageMargins left="0.7" right="0.7" top="0.75" bottom="0.75" header="0.3" footer="0.3"/>
  <pageSetup paperSize="5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D26"/>
  <sheetViews>
    <sheetView workbookViewId="0">
      <selection activeCell="B13" sqref="B13:C24"/>
    </sheetView>
  </sheetViews>
  <sheetFormatPr defaultColWidth="9" defaultRowHeight="14.5"/>
  <cols>
    <col min="1" max="1" width="27.7265625" customWidth="1"/>
    <col min="2" max="3" width="22.81640625" customWidth="1"/>
  </cols>
  <sheetData>
    <row r="1" spans="1:4">
      <c r="A1" s="133" t="s">
        <v>0</v>
      </c>
      <c r="B1" s="133"/>
      <c r="C1" s="133"/>
      <c r="D1" s="12"/>
    </row>
    <row r="2" spans="1:4">
      <c r="A2" s="133" t="s">
        <v>68</v>
      </c>
      <c r="B2" s="133"/>
      <c r="C2" s="133"/>
      <c r="D2" s="12"/>
    </row>
    <row r="3" spans="1:4">
      <c r="A3" s="133" t="s">
        <v>94</v>
      </c>
      <c r="B3" s="133"/>
      <c r="C3" s="133"/>
      <c r="D3" s="12"/>
    </row>
    <row r="4" spans="1:4" ht="15" thickBot="1">
      <c r="A4" s="2"/>
      <c r="B4" s="2"/>
      <c r="C4" s="2"/>
      <c r="D4" s="12"/>
    </row>
    <row r="5" spans="1:4" ht="30" customHeight="1">
      <c r="A5" s="143" t="s">
        <v>60</v>
      </c>
      <c r="B5" s="143" t="s">
        <v>69</v>
      </c>
      <c r="C5" s="143" t="s">
        <v>36</v>
      </c>
      <c r="D5" s="148"/>
    </row>
    <row r="6" spans="1:4" ht="15" thickBot="1">
      <c r="A6" s="144"/>
      <c r="B6" s="144"/>
      <c r="C6" s="144"/>
      <c r="D6" s="148"/>
    </row>
    <row r="7" spans="1:4" ht="15" thickBot="1">
      <c r="A7" s="13">
        <v>1</v>
      </c>
      <c r="B7" s="14">
        <v>2</v>
      </c>
      <c r="C7" s="14">
        <v>3</v>
      </c>
      <c r="D7" s="12"/>
    </row>
    <row r="8" spans="1:4" ht="16" thickBot="1">
      <c r="A8" s="15" t="s">
        <v>2</v>
      </c>
      <c r="B8" s="63">
        <v>0</v>
      </c>
      <c r="C8" s="63">
        <v>0</v>
      </c>
      <c r="D8" s="12"/>
    </row>
    <row r="9" spans="1:4" ht="16" thickBot="1">
      <c r="A9" s="15" t="s">
        <v>3</v>
      </c>
      <c r="B9" s="63">
        <v>0</v>
      </c>
      <c r="C9" s="63">
        <v>0</v>
      </c>
      <c r="D9" s="12"/>
    </row>
    <row r="10" spans="1:4" ht="16" thickBot="1">
      <c r="A10" s="15" t="s">
        <v>4</v>
      </c>
      <c r="B10" s="63">
        <v>0</v>
      </c>
      <c r="C10" s="63">
        <v>0</v>
      </c>
      <c r="D10" s="12"/>
    </row>
    <row r="11" spans="1:4" ht="16" thickBot="1">
      <c r="A11" s="15" t="s">
        <v>5</v>
      </c>
      <c r="B11" s="63">
        <v>0</v>
      </c>
      <c r="C11" s="63">
        <v>0</v>
      </c>
      <c r="D11" s="12"/>
    </row>
    <row r="12" spans="1:4" ht="16" thickBot="1">
      <c r="A12" s="15" t="s">
        <v>6</v>
      </c>
      <c r="B12" s="63">
        <v>0</v>
      </c>
      <c r="C12" s="63">
        <v>0</v>
      </c>
      <c r="D12" s="12"/>
    </row>
    <row r="13" spans="1:4" ht="16" thickBot="1">
      <c r="A13" s="15" t="s">
        <v>7</v>
      </c>
      <c r="B13" s="77">
        <f>'[5]Rekap Bulanan'!$G$15/1000</f>
        <v>36.69</v>
      </c>
      <c r="C13" s="64">
        <f>'[5]Rekap Bulanan'!$I$15/1000</f>
        <v>130943.7</v>
      </c>
      <c r="D13" s="12"/>
    </row>
    <row r="14" spans="1:4" ht="16" thickBot="1">
      <c r="A14" s="15" t="s">
        <v>8</v>
      </c>
      <c r="B14" s="77">
        <f>'[5]Rekap Bulanan'!$J$15/1000</f>
        <v>520.52700000000004</v>
      </c>
      <c r="C14" s="64">
        <f>'[5]Rekap Bulanan'!$L$15/1000</f>
        <v>1383201.8</v>
      </c>
      <c r="D14" s="12"/>
    </row>
    <row r="15" spans="1:4" ht="16" thickBot="1">
      <c r="A15" s="15" t="s">
        <v>9</v>
      </c>
      <c r="B15" s="78">
        <f>'[5]Rekap Bulanan'!$M$15/1000</f>
        <v>4071.8150000000001</v>
      </c>
      <c r="C15" s="65">
        <f>'[5]Rekap Bulanan'!$O$15/1000</f>
        <v>3691845.89</v>
      </c>
      <c r="D15" s="12"/>
    </row>
    <row r="16" spans="1:4" ht="16" thickBot="1">
      <c r="A16" s="15" t="s">
        <v>10</v>
      </c>
      <c r="B16" s="78">
        <f>'[5]Rekap Bulanan'!$P$15/1000</f>
        <v>9914.7659999999996</v>
      </c>
      <c r="C16" s="66">
        <f>'[5]Rekap Bulanan'!$R$15/1000</f>
        <v>9251927.8499999996</v>
      </c>
      <c r="D16" s="12"/>
    </row>
    <row r="17" spans="1:4" ht="16" thickBot="1">
      <c r="A17" s="15" t="s">
        <v>11</v>
      </c>
      <c r="B17" s="77">
        <f>'[5]Rekap Bulanan'!$S$15/1000</f>
        <v>8994.7450000000008</v>
      </c>
      <c r="C17" s="66">
        <f>'[5]Rekap Bulanan'!$U$15/1000</f>
        <v>7860203.9249999998</v>
      </c>
      <c r="D17" s="12"/>
    </row>
    <row r="18" spans="1:4" ht="16" thickBot="1">
      <c r="A18" s="15" t="s">
        <v>12</v>
      </c>
      <c r="B18" s="77">
        <f>6833162/1000</f>
        <v>6833.1620000000003</v>
      </c>
      <c r="C18" s="67">
        <f>5021261975/1000</f>
        <v>5021261.9749999996</v>
      </c>
      <c r="D18" s="12"/>
    </row>
    <row r="19" spans="1:4" ht="16" thickBot="1">
      <c r="A19" s="15" t="s">
        <v>13</v>
      </c>
      <c r="B19" s="79">
        <f>'[5]Rekap Bulanan'!$Y$15/1000</f>
        <v>242.584</v>
      </c>
      <c r="C19" s="68">
        <f>'[5]Rekap Bulanan'!$AA$15/1000</f>
        <v>272870.25</v>
      </c>
      <c r="D19" s="12"/>
    </row>
    <row r="20" spans="1:4" ht="16" thickBot="1">
      <c r="A20" s="7">
        <v>2023</v>
      </c>
      <c r="B20" s="69">
        <f>SUM(B13:B19)</f>
        <v>30614.288999999997</v>
      </c>
      <c r="C20" s="70">
        <f>SUM(C13:C19)</f>
        <v>27612255.390000001</v>
      </c>
      <c r="D20" s="12"/>
    </row>
    <row r="21" spans="1:4" ht="16" thickBot="1">
      <c r="A21" s="7">
        <f>A20-1</f>
        <v>2022</v>
      </c>
      <c r="B21" s="71">
        <f>1204249/1000</f>
        <v>1204.249</v>
      </c>
      <c r="C21" s="72">
        <f>4636358650/1000</f>
        <v>4636358.6500000004</v>
      </c>
      <c r="D21" s="12"/>
    </row>
    <row r="22" spans="1:4" ht="16" thickBot="1">
      <c r="A22" s="7">
        <f t="shared" ref="A22:A24" si="0">A21-1</f>
        <v>2021</v>
      </c>
      <c r="B22" s="73">
        <f>1458.71</f>
        <v>1458.71</v>
      </c>
      <c r="C22" s="74">
        <f>1152383270/1000</f>
        <v>1152383.27</v>
      </c>
      <c r="D22" s="12"/>
    </row>
    <row r="23" spans="1:4" ht="16" thickBot="1">
      <c r="A23" s="7">
        <f t="shared" si="0"/>
        <v>2020</v>
      </c>
      <c r="B23" s="40">
        <f>2410.03</f>
        <v>2410.0300000000002</v>
      </c>
      <c r="C23" s="74">
        <f>1102759400/1000</f>
        <v>1102759.3999999999</v>
      </c>
      <c r="D23" s="12"/>
    </row>
    <row r="24" spans="1:4" ht="16" thickBot="1">
      <c r="A24" s="7">
        <f t="shared" si="0"/>
        <v>2019</v>
      </c>
      <c r="B24" s="41">
        <f>49574.45</f>
        <v>49574.45</v>
      </c>
      <c r="C24" s="75">
        <f>13902181530/1000</f>
        <v>13902181.529999999</v>
      </c>
      <c r="D24" s="12"/>
    </row>
    <row r="25" spans="1:4">
      <c r="A25" s="2"/>
      <c r="B25" s="2"/>
      <c r="C25" s="2"/>
      <c r="D25" s="12"/>
    </row>
    <row r="26" spans="1:4">
      <c r="A26" s="132" t="s">
        <v>32</v>
      </c>
      <c r="B26" s="132"/>
      <c r="C26" s="132"/>
      <c r="D26" s="132"/>
    </row>
  </sheetData>
  <mergeCells count="8">
    <mergeCell ref="A26:D26"/>
    <mergeCell ref="C5:C6"/>
    <mergeCell ref="A1:C1"/>
    <mergeCell ref="A2:C2"/>
    <mergeCell ref="A3:C3"/>
    <mergeCell ref="A5:A6"/>
    <mergeCell ref="B5:B6"/>
    <mergeCell ref="D5:D6"/>
  </mergeCells>
  <pageMargins left="0.7" right="0.7" top="0.75" bottom="0.75" header="0.3" footer="0.3"/>
  <pageSetup paperSize="5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K26"/>
  <sheetViews>
    <sheetView tabSelected="1" showWhiteSpace="0" zoomScale="55" zoomScaleNormal="55" zoomScalePageLayoutView="68" workbookViewId="0">
      <selection activeCell="E23" sqref="E23:E24"/>
    </sheetView>
  </sheetViews>
  <sheetFormatPr defaultColWidth="9" defaultRowHeight="14.5"/>
  <cols>
    <col min="2" max="2" width="19.1796875" customWidth="1"/>
    <col min="3" max="3" width="12.54296875" customWidth="1"/>
    <col min="4" max="4" width="16" customWidth="1"/>
    <col min="5" max="5" width="11.81640625" customWidth="1"/>
    <col min="6" max="6" width="15.26953125" customWidth="1"/>
    <col min="7" max="7" width="16.54296875" customWidth="1"/>
    <col min="8" max="8" width="13.1796875" customWidth="1"/>
    <col min="9" max="9" width="12.7265625" customWidth="1"/>
    <col min="10" max="10" width="19" customWidth="1"/>
  </cols>
  <sheetData>
    <row r="1" spans="1:1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2"/>
    </row>
    <row r="2" spans="1:11">
      <c r="A2" s="133" t="s">
        <v>89</v>
      </c>
      <c r="B2" s="133"/>
      <c r="C2" s="133"/>
      <c r="D2" s="133"/>
      <c r="E2" s="133"/>
      <c r="F2" s="133"/>
      <c r="G2" s="133"/>
      <c r="H2" s="133"/>
      <c r="I2" s="133"/>
      <c r="J2" s="133"/>
      <c r="K2" s="23"/>
    </row>
    <row r="3" spans="1:11">
      <c r="A3" s="133" t="s">
        <v>108</v>
      </c>
      <c r="B3" s="133"/>
      <c r="C3" s="133"/>
      <c r="D3" s="133"/>
      <c r="E3" s="133"/>
      <c r="F3" s="133"/>
      <c r="G3" s="133"/>
      <c r="H3" s="133"/>
      <c r="I3" s="133"/>
      <c r="J3" s="133"/>
      <c r="K3" s="23"/>
    </row>
    <row r="4" spans="1:11" ht="15" thickBot="1">
      <c r="A4" s="153"/>
      <c r="B4" s="153"/>
      <c r="C4" s="2"/>
      <c r="D4" s="2"/>
      <c r="E4" s="2"/>
      <c r="F4" s="2"/>
      <c r="G4" s="2"/>
      <c r="H4" s="2"/>
      <c r="I4" s="2"/>
      <c r="J4" s="2"/>
      <c r="K4" s="2"/>
    </row>
    <row r="5" spans="1:11" ht="39.75" customHeight="1" thickBot="1">
      <c r="A5" s="154" t="s">
        <v>88</v>
      </c>
      <c r="B5" s="155"/>
      <c r="C5" s="160" t="s">
        <v>70</v>
      </c>
      <c r="D5" s="161"/>
      <c r="E5" s="161"/>
      <c r="F5" s="161"/>
      <c r="G5" s="161"/>
      <c r="H5" s="161"/>
      <c r="I5" s="162"/>
      <c r="J5" s="163" t="s">
        <v>71</v>
      </c>
      <c r="K5" s="2"/>
    </row>
    <row r="6" spans="1:11" ht="54" customHeight="1" thickBot="1">
      <c r="A6" s="156"/>
      <c r="B6" s="157"/>
      <c r="C6" s="109" t="s">
        <v>72</v>
      </c>
      <c r="D6" s="110" t="s">
        <v>106</v>
      </c>
      <c r="E6" s="109" t="s">
        <v>73</v>
      </c>
      <c r="F6" s="109" t="s">
        <v>74</v>
      </c>
      <c r="G6" s="110" t="s">
        <v>107</v>
      </c>
      <c r="H6" s="109" t="s">
        <v>75</v>
      </c>
      <c r="I6" s="109" t="s">
        <v>93</v>
      </c>
      <c r="J6" s="164"/>
      <c r="K6" s="2"/>
    </row>
    <row r="7" spans="1:11" ht="16" thickBot="1">
      <c r="A7" s="158"/>
      <c r="B7" s="159"/>
      <c r="C7" s="33"/>
      <c r="D7" s="33"/>
      <c r="E7" s="33"/>
      <c r="F7" s="33"/>
      <c r="G7" s="33"/>
      <c r="H7" s="33"/>
      <c r="I7" s="33"/>
      <c r="J7" s="33"/>
      <c r="K7" s="2"/>
    </row>
    <row r="8" spans="1:11" ht="16" thickBot="1">
      <c r="A8" s="165" t="s">
        <v>76</v>
      </c>
      <c r="B8" s="166"/>
      <c r="C8" s="111">
        <v>0</v>
      </c>
      <c r="D8" s="112">
        <v>0</v>
      </c>
      <c r="E8" s="112">
        <v>0</v>
      </c>
      <c r="F8" s="113">
        <v>3</v>
      </c>
      <c r="G8" s="113">
        <v>0</v>
      </c>
      <c r="H8" s="113">
        <v>21</v>
      </c>
      <c r="I8" s="113">
        <v>3</v>
      </c>
      <c r="J8" s="113">
        <f>SUM(C8:I8)</f>
        <v>27</v>
      </c>
      <c r="K8" s="2"/>
    </row>
    <row r="9" spans="1:11" ht="16" thickBot="1">
      <c r="A9" s="151" t="s">
        <v>77</v>
      </c>
      <c r="B9" s="152"/>
      <c r="C9" s="113">
        <v>109</v>
      </c>
      <c r="D9" s="113">
        <v>7</v>
      </c>
      <c r="E9" s="114">
        <f>28+4</f>
        <v>32</v>
      </c>
      <c r="F9" s="114">
        <v>55</v>
      </c>
      <c r="G9" s="115">
        <v>10</v>
      </c>
      <c r="H9" s="114">
        <v>94</v>
      </c>
      <c r="I9" s="114">
        <v>0</v>
      </c>
      <c r="J9" s="114">
        <f t="shared" ref="J9:J24" si="0">SUM(C9:I9)</f>
        <v>307</v>
      </c>
      <c r="K9" s="2"/>
    </row>
    <row r="10" spans="1:11" ht="16" thickBot="1">
      <c r="A10" s="151" t="s">
        <v>78</v>
      </c>
      <c r="B10" s="152"/>
      <c r="C10" s="113">
        <v>0</v>
      </c>
      <c r="D10" s="113">
        <v>0</v>
      </c>
      <c r="E10" s="113">
        <f>38+3</f>
        <v>41</v>
      </c>
      <c r="F10" s="113">
        <v>103</v>
      </c>
      <c r="G10" s="113">
        <v>0</v>
      </c>
      <c r="H10" s="113">
        <v>12</v>
      </c>
      <c r="I10" s="113">
        <v>0</v>
      </c>
      <c r="J10" s="113">
        <f t="shared" si="0"/>
        <v>156</v>
      </c>
      <c r="K10" s="2"/>
    </row>
    <row r="11" spans="1:11" ht="16" thickBot="1">
      <c r="A11" s="151" t="s">
        <v>79</v>
      </c>
      <c r="B11" s="152"/>
      <c r="C11" s="113">
        <v>6</v>
      </c>
      <c r="D11" s="113">
        <v>0</v>
      </c>
      <c r="E11" s="113">
        <v>57</v>
      </c>
      <c r="F11" s="113">
        <v>115</v>
      </c>
      <c r="G11" s="113">
        <v>0</v>
      </c>
      <c r="H11" s="113">
        <v>80</v>
      </c>
      <c r="I11" s="113">
        <v>10</v>
      </c>
      <c r="J11" s="113">
        <f t="shared" si="0"/>
        <v>268</v>
      </c>
      <c r="K11" s="2"/>
    </row>
    <row r="12" spans="1:11" ht="16" thickBot="1">
      <c r="A12" s="151" t="s">
        <v>80</v>
      </c>
      <c r="B12" s="152"/>
      <c r="C12" s="113">
        <v>0</v>
      </c>
      <c r="D12" s="113">
        <v>2</v>
      </c>
      <c r="E12" s="113">
        <v>0</v>
      </c>
      <c r="F12" s="112">
        <v>0</v>
      </c>
      <c r="G12" s="114">
        <v>114</v>
      </c>
      <c r="H12" s="113">
        <v>0</v>
      </c>
      <c r="I12" s="114">
        <v>32</v>
      </c>
      <c r="J12" s="114">
        <f t="shared" si="0"/>
        <v>148</v>
      </c>
      <c r="K12" s="2"/>
    </row>
    <row r="13" spans="1:11" ht="16" thickBot="1">
      <c r="A13" s="151" t="s">
        <v>81</v>
      </c>
      <c r="B13" s="152"/>
      <c r="C13" s="113">
        <v>87</v>
      </c>
      <c r="D13" s="114">
        <v>245</v>
      </c>
      <c r="E13" s="113">
        <f>3+1</f>
        <v>4</v>
      </c>
      <c r="F13" s="112">
        <v>0</v>
      </c>
      <c r="G13" s="113">
        <v>15</v>
      </c>
      <c r="H13" s="113">
        <v>103</v>
      </c>
      <c r="I13" s="113">
        <v>0</v>
      </c>
      <c r="J13" s="114">
        <f t="shared" si="0"/>
        <v>454</v>
      </c>
      <c r="K13" s="2"/>
    </row>
    <row r="14" spans="1:11" ht="16" thickBot="1">
      <c r="A14" s="151" t="s">
        <v>82</v>
      </c>
      <c r="B14" s="152"/>
      <c r="C14" s="113">
        <v>26</v>
      </c>
      <c r="D14" s="113">
        <v>12</v>
      </c>
      <c r="E14" s="113">
        <v>10</v>
      </c>
      <c r="F14" s="112">
        <v>0</v>
      </c>
      <c r="G14" s="113">
        <v>0</v>
      </c>
      <c r="H14" s="113">
        <v>4</v>
      </c>
      <c r="I14" s="113">
        <v>1</v>
      </c>
      <c r="J14" s="113">
        <f t="shared" si="0"/>
        <v>53</v>
      </c>
      <c r="K14" s="2"/>
    </row>
    <row r="15" spans="1:11" ht="16" thickBot="1">
      <c r="A15" s="151" t="s">
        <v>83</v>
      </c>
      <c r="B15" s="152"/>
      <c r="C15" s="113">
        <v>0</v>
      </c>
      <c r="D15" s="113">
        <v>0</v>
      </c>
      <c r="E15" s="113">
        <v>0</v>
      </c>
      <c r="F15" s="112">
        <v>0</v>
      </c>
      <c r="G15" s="113">
        <v>7</v>
      </c>
      <c r="H15" s="113">
        <v>0</v>
      </c>
      <c r="I15" s="114">
        <v>116</v>
      </c>
      <c r="J15" s="114">
        <f t="shared" si="0"/>
        <v>123</v>
      </c>
      <c r="K15" s="2"/>
    </row>
    <row r="16" spans="1:11" ht="16" thickBot="1">
      <c r="A16" s="151" t="s">
        <v>84</v>
      </c>
      <c r="B16" s="152"/>
      <c r="C16" s="113">
        <v>19</v>
      </c>
      <c r="D16" s="113">
        <v>0</v>
      </c>
      <c r="E16" s="114">
        <v>5</v>
      </c>
      <c r="F16" s="114">
        <v>134</v>
      </c>
      <c r="G16" s="113">
        <v>23</v>
      </c>
      <c r="H16" s="113">
        <v>0</v>
      </c>
      <c r="I16" s="114">
        <v>0</v>
      </c>
      <c r="J16" s="114">
        <f t="shared" si="0"/>
        <v>181</v>
      </c>
      <c r="K16" s="2"/>
    </row>
    <row r="17" spans="1:11" ht="16" thickBot="1">
      <c r="A17" s="151" t="s">
        <v>85</v>
      </c>
      <c r="B17" s="152"/>
      <c r="C17" s="113">
        <v>0</v>
      </c>
      <c r="D17" s="113">
        <v>0</v>
      </c>
      <c r="E17" s="113">
        <v>89</v>
      </c>
      <c r="F17" s="113">
        <v>28</v>
      </c>
      <c r="G17" s="113">
        <v>0</v>
      </c>
      <c r="H17" s="113">
        <v>48</v>
      </c>
      <c r="I17" s="113">
        <v>0</v>
      </c>
      <c r="J17" s="113">
        <f t="shared" si="0"/>
        <v>165</v>
      </c>
      <c r="K17" s="2"/>
    </row>
    <row r="18" spans="1:11" ht="16" thickBot="1">
      <c r="A18" s="151" t="s">
        <v>86</v>
      </c>
      <c r="B18" s="152"/>
      <c r="C18" s="113">
        <v>4</v>
      </c>
      <c r="D18" s="113">
        <v>0</v>
      </c>
      <c r="E18" s="113">
        <v>27</v>
      </c>
      <c r="F18" s="113">
        <v>28</v>
      </c>
      <c r="G18" s="113">
        <v>0</v>
      </c>
      <c r="H18" s="113">
        <v>183</v>
      </c>
      <c r="I18" s="113">
        <v>70</v>
      </c>
      <c r="J18" s="113">
        <f t="shared" si="0"/>
        <v>312</v>
      </c>
      <c r="K18" s="2"/>
    </row>
    <row r="19" spans="1:11" ht="16" thickBot="1">
      <c r="A19" s="151" t="s">
        <v>87</v>
      </c>
      <c r="B19" s="152"/>
      <c r="C19" s="113">
        <v>0</v>
      </c>
      <c r="D19" s="113">
        <v>0</v>
      </c>
      <c r="E19" s="113">
        <v>8</v>
      </c>
      <c r="F19" s="113">
        <v>17</v>
      </c>
      <c r="G19" s="113">
        <v>0</v>
      </c>
      <c r="H19" s="113">
        <v>135</v>
      </c>
      <c r="I19" s="113">
        <v>170</v>
      </c>
      <c r="J19" s="113">
        <f t="shared" si="0"/>
        <v>330</v>
      </c>
      <c r="K19" s="2"/>
    </row>
    <row r="20" spans="1:11" ht="16" thickBot="1">
      <c r="A20" s="149">
        <v>2023</v>
      </c>
      <c r="B20" s="150"/>
      <c r="C20" s="90">
        <f t="shared" ref="C20:I20" si="1">SUM(C7:C19)</f>
        <v>251</v>
      </c>
      <c r="D20" s="90">
        <f t="shared" si="1"/>
        <v>266</v>
      </c>
      <c r="E20" s="90">
        <f t="shared" si="1"/>
        <v>273</v>
      </c>
      <c r="F20" s="90">
        <f t="shared" si="1"/>
        <v>483</v>
      </c>
      <c r="G20" s="90">
        <f t="shared" si="1"/>
        <v>169</v>
      </c>
      <c r="H20" s="90">
        <f t="shared" si="1"/>
        <v>680</v>
      </c>
      <c r="I20" s="90">
        <f t="shared" si="1"/>
        <v>402</v>
      </c>
      <c r="J20" s="91">
        <f t="shared" si="0"/>
        <v>2524</v>
      </c>
      <c r="K20" s="2"/>
    </row>
    <row r="21" spans="1:11" ht="16" thickBot="1">
      <c r="A21" s="149">
        <f>A20-1</f>
        <v>2022</v>
      </c>
      <c r="B21" s="150"/>
      <c r="C21" s="90">
        <f t="shared" ref="C21:I21" si="2">SUM(C8:C19)</f>
        <v>251</v>
      </c>
      <c r="D21" s="90">
        <f t="shared" si="2"/>
        <v>266</v>
      </c>
      <c r="E21" s="90">
        <f t="shared" si="2"/>
        <v>273</v>
      </c>
      <c r="F21" s="90">
        <f t="shared" si="2"/>
        <v>483</v>
      </c>
      <c r="G21" s="90">
        <f t="shared" si="2"/>
        <v>169</v>
      </c>
      <c r="H21" s="90">
        <f t="shared" si="2"/>
        <v>680</v>
      </c>
      <c r="I21" s="90">
        <f t="shared" si="2"/>
        <v>402</v>
      </c>
      <c r="J21" s="91">
        <f t="shared" si="0"/>
        <v>2524</v>
      </c>
      <c r="K21" s="2"/>
    </row>
    <row r="22" spans="1:11" ht="16" thickBot="1">
      <c r="A22" s="149">
        <f t="shared" ref="A22:A24" si="3">A21-1</f>
        <v>2021</v>
      </c>
      <c r="B22" s="150"/>
      <c r="C22" s="90">
        <f>SUM(C9:C19)</f>
        <v>251</v>
      </c>
      <c r="D22" s="90">
        <f>SUM(D9:D19)</f>
        <v>266</v>
      </c>
      <c r="E22" s="90">
        <f>SUM(E9:E19)</f>
        <v>273</v>
      </c>
      <c r="F22" s="90">
        <f>SUM(F8:F19)</f>
        <v>483</v>
      </c>
      <c r="G22" s="90">
        <f>SUM(G9:G19)</f>
        <v>169</v>
      </c>
      <c r="H22" s="90">
        <f>SUM(H8:H19)</f>
        <v>680</v>
      </c>
      <c r="I22" s="90">
        <f>SUM(I8:I19)</f>
        <v>402</v>
      </c>
      <c r="J22" s="91">
        <f t="shared" si="0"/>
        <v>2524</v>
      </c>
      <c r="K22" s="2"/>
    </row>
    <row r="23" spans="1:11" ht="16" thickBot="1">
      <c r="A23" s="149">
        <f t="shared" si="3"/>
        <v>2020</v>
      </c>
      <c r="B23" s="150"/>
      <c r="C23" s="92">
        <v>251</v>
      </c>
      <c r="D23" s="93">
        <v>266</v>
      </c>
      <c r="E23" s="94">
        <v>255</v>
      </c>
      <c r="F23" s="95">
        <v>483</v>
      </c>
      <c r="G23" s="96">
        <v>169</v>
      </c>
      <c r="H23" s="95">
        <v>680</v>
      </c>
      <c r="I23" s="97">
        <v>402</v>
      </c>
      <c r="J23" s="95">
        <f t="shared" si="0"/>
        <v>2506</v>
      </c>
      <c r="K23" s="2"/>
    </row>
    <row r="24" spans="1:11" ht="16" thickBot="1">
      <c r="A24" s="149">
        <f t="shared" si="3"/>
        <v>2019</v>
      </c>
      <c r="B24" s="150"/>
      <c r="C24" s="98">
        <v>251</v>
      </c>
      <c r="D24" s="95">
        <v>266</v>
      </c>
      <c r="E24" s="95">
        <v>245</v>
      </c>
      <c r="F24" s="95">
        <v>483</v>
      </c>
      <c r="G24" s="95">
        <v>169</v>
      </c>
      <c r="H24" s="97">
        <v>680</v>
      </c>
      <c r="I24" s="95">
        <v>402</v>
      </c>
      <c r="J24" s="95">
        <f t="shared" si="0"/>
        <v>2496</v>
      </c>
      <c r="K24" s="2"/>
    </row>
    <row r="25" spans="1:11" ht="15.5">
      <c r="A25" s="99"/>
      <c r="B25" s="99"/>
      <c r="C25" s="100"/>
      <c r="D25" s="101"/>
      <c r="E25" s="101"/>
      <c r="F25" s="101"/>
      <c r="G25" s="101"/>
      <c r="H25" s="101"/>
      <c r="I25" s="101"/>
      <c r="J25" s="101"/>
      <c r="K25" s="2"/>
    </row>
    <row r="26" spans="1:11">
      <c r="A26" s="132" t="s">
        <v>32</v>
      </c>
      <c r="B26" s="132"/>
      <c r="C26" s="132"/>
      <c r="D26" s="132"/>
      <c r="E26" s="132"/>
      <c r="F26" s="2"/>
      <c r="G26" s="2"/>
      <c r="H26" s="2"/>
      <c r="I26" s="2"/>
      <c r="J26" s="2"/>
      <c r="K26" s="2"/>
    </row>
  </sheetData>
  <mergeCells count="25">
    <mergeCell ref="A26:E26"/>
    <mergeCell ref="A14:B14"/>
    <mergeCell ref="A15:B15"/>
    <mergeCell ref="A16:B16"/>
    <mergeCell ref="A17:B17"/>
    <mergeCell ref="A18:B18"/>
    <mergeCell ref="A19:B19"/>
    <mergeCell ref="A22:B22"/>
    <mergeCell ref="A24:B24"/>
    <mergeCell ref="A1:J1"/>
    <mergeCell ref="A2:J2"/>
    <mergeCell ref="A3:J3"/>
    <mergeCell ref="A20:B20"/>
    <mergeCell ref="A23:B23"/>
    <mergeCell ref="A13:B13"/>
    <mergeCell ref="A4:B4"/>
    <mergeCell ref="A5:B7"/>
    <mergeCell ref="C5:I5"/>
    <mergeCell ref="J5:J6"/>
    <mergeCell ref="A8:B8"/>
    <mergeCell ref="A9:B9"/>
    <mergeCell ref="A10:B10"/>
    <mergeCell ref="A11:B11"/>
    <mergeCell ref="A12:B12"/>
    <mergeCell ref="A21:B21"/>
  </mergeCells>
  <pageMargins left="0.59055118110236227" right="0.70866141732283472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F32"/>
  <sheetViews>
    <sheetView showWhiteSpace="0" topLeftCell="A15" zoomScalePageLayoutView="77" workbookViewId="0">
      <selection activeCell="E27" sqref="E27"/>
    </sheetView>
  </sheetViews>
  <sheetFormatPr defaultColWidth="9" defaultRowHeight="14.5"/>
  <cols>
    <col min="1" max="1" width="27.7265625" customWidth="1"/>
    <col min="2" max="3" width="25.453125" customWidth="1"/>
    <col min="5" max="5" width="35.453125" customWidth="1"/>
    <col min="6" max="6" width="16" bestFit="1" customWidth="1"/>
  </cols>
  <sheetData>
    <row r="1" spans="1:5">
      <c r="A1" s="133" t="s">
        <v>0</v>
      </c>
      <c r="B1" s="133"/>
      <c r="C1" s="133"/>
      <c r="D1" s="12"/>
      <c r="E1" s="12"/>
    </row>
    <row r="2" spans="1:5">
      <c r="A2" s="133" t="s">
        <v>17</v>
      </c>
      <c r="B2" s="133"/>
      <c r="C2" s="133"/>
      <c r="D2" s="12"/>
      <c r="E2" s="12"/>
    </row>
    <row r="3" spans="1:5">
      <c r="A3" s="133" t="s">
        <v>95</v>
      </c>
      <c r="B3" s="133"/>
      <c r="C3" s="133"/>
      <c r="D3" s="12"/>
      <c r="E3" s="12"/>
    </row>
    <row r="4" spans="1:5" ht="15" thickBot="1">
      <c r="A4" s="2"/>
      <c r="B4" s="2"/>
      <c r="C4" s="2"/>
      <c r="D4" s="12"/>
      <c r="E4" s="12"/>
    </row>
    <row r="5" spans="1:5" ht="63" customHeight="1">
      <c r="A5" s="134" t="s">
        <v>37</v>
      </c>
      <c r="B5" s="136" t="s">
        <v>30</v>
      </c>
      <c r="C5" s="136" t="s">
        <v>31</v>
      </c>
      <c r="D5" s="12"/>
      <c r="E5" s="12"/>
    </row>
    <row r="6" spans="1:5" ht="15" thickBot="1">
      <c r="A6" s="135"/>
      <c r="B6" s="137"/>
      <c r="C6" s="138"/>
      <c r="D6" s="12"/>
      <c r="E6" s="12"/>
    </row>
    <row r="7" spans="1:5" ht="16" thickBot="1">
      <c r="A7" s="10" t="s">
        <v>14</v>
      </c>
      <c r="B7" s="11" t="s">
        <v>15</v>
      </c>
      <c r="C7" s="11" t="s">
        <v>16</v>
      </c>
      <c r="D7" s="12"/>
      <c r="E7" s="12"/>
    </row>
    <row r="8" spans="1:5" ht="16" thickBot="1">
      <c r="A8" s="6" t="s">
        <v>39</v>
      </c>
      <c r="B8" s="35">
        <v>0</v>
      </c>
      <c r="C8" s="35">
        <v>0</v>
      </c>
      <c r="D8" s="12"/>
    </row>
    <row r="9" spans="1:5" ht="16" thickBot="1">
      <c r="A9" s="6" t="s">
        <v>40</v>
      </c>
      <c r="B9" s="35">
        <v>0</v>
      </c>
      <c r="C9" s="35">
        <v>0</v>
      </c>
      <c r="D9" s="12"/>
    </row>
    <row r="10" spans="1:5" ht="16" thickBot="1">
      <c r="A10" s="6" t="s">
        <v>41</v>
      </c>
      <c r="B10" s="35">
        <v>0</v>
      </c>
      <c r="C10" s="35">
        <v>0</v>
      </c>
      <c r="D10" s="12"/>
    </row>
    <row r="11" spans="1:5" ht="16" thickBot="1">
      <c r="A11" s="6" t="s">
        <v>42</v>
      </c>
      <c r="B11" s="35">
        <v>0</v>
      </c>
      <c r="C11" s="35">
        <v>0</v>
      </c>
      <c r="D11" s="12"/>
    </row>
    <row r="12" spans="1:5" ht="16" thickBot="1">
      <c r="A12" s="6" t="s">
        <v>43</v>
      </c>
      <c r="B12" s="35">
        <v>0</v>
      </c>
      <c r="C12" s="35">
        <v>0</v>
      </c>
      <c r="D12" s="12"/>
    </row>
    <row r="13" spans="1:5" ht="16" thickBot="1">
      <c r="A13" s="6" t="s">
        <v>44</v>
      </c>
      <c r="B13" s="35">
        <v>0</v>
      </c>
      <c r="C13" s="35">
        <v>0</v>
      </c>
      <c r="D13" s="12"/>
    </row>
    <row r="14" spans="1:5" ht="16" thickBot="1">
      <c r="A14" s="6" t="s">
        <v>45</v>
      </c>
      <c r="B14" s="35">
        <v>0</v>
      </c>
      <c r="C14" s="35">
        <v>0</v>
      </c>
      <c r="D14" s="12"/>
    </row>
    <row r="15" spans="1:5" ht="16" thickBot="1">
      <c r="A15" s="6" t="s">
        <v>46</v>
      </c>
      <c r="B15" s="35">
        <v>0</v>
      </c>
      <c r="C15" s="35">
        <v>0</v>
      </c>
      <c r="D15" s="12"/>
    </row>
    <row r="16" spans="1:5" ht="16" thickBot="1">
      <c r="A16" s="6" t="s">
        <v>47</v>
      </c>
      <c r="B16" s="35">
        <v>0</v>
      </c>
      <c r="C16" s="35">
        <v>0</v>
      </c>
      <c r="D16" s="12"/>
    </row>
    <row r="17" spans="1:6" ht="16" thickBot="1">
      <c r="A17" s="6" t="s">
        <v>48</v>
      </c>
      <c r="B17" s="35">
        <f>SUM(125+750+250+300+380+900+1000+1250+1220+290+1310+448+1508+545+1735+277+1415+265+1539+288+1940+280+2080+250)</f>
        <v>20345</v>
      </c>
      <c r="C17" s="35">
        <f>SUM(1500000+49500000+3000000+3600000+4560000+54000000+67500000+72000000+78300000+3480000+87300000+5376000+95220000+6540000+120150000+3324000+89100000+3180000+80010000+3456000+130500000+3360000+153000000+3000000)/1000</f>
        <v>1120956</v>
      </c>
      <c r="D17" s="12"/>
      <c r="E17" s="117" t="s">
        <v>103</v>
      </c>
    </row>
    <row r="18" spans="1:6" ht="16" thickBot="1">
      <c r="A18" s="6" t="s">
        <v>49</v>
      </c>
      <c r="B18" s="35">
        <f>SUM(268402+197248+18620+20230+15650+14050+14598+15290+14395+16050+15930+14500+12992+16405+15070+16800+18322+15860+15479+16650+16665+9405+8360+10990+4950+6040)</f>
        <v>808951</v>
      </c>
      <c r="C18" s="35">
        <f>SUM(9341627200+3332846200+431200000+550900000+358100000+342100000+351500000+397900000+361650000+391500000+390300000+336800000+294476000+437890000+324300000+427000000+459776000+354880000+382850000+414860000+446090000+249730000+217160000+290220000+118100000+132080000)/1000</f>
        <v>21135835.399999999</v>
      </c>
      <c r="D18" s="12"/>
      <c r="E18" s="117" t="s">
        <v>102</v>
      </c>
    </row>
    <row r="19" spans="1:6" ht="16" thickBot="1">
      <c r="A19" s="6" t="s">
        <v>50</v>
      </c>
      <c r="B19" s="35">
        <v>0</v>
      </c>
      <c r="C19" s="35">
        <v>0</v>
      </c>
      <c r="D19" s="12"/>
      <c r="E19" s="117"/>
    </row>
    <row r="20" spans="1:6" ht="16" thickBot="1">
      <c r="A20" s="105" t="s">
        <v>51</v>
      </c>
      <c r="B20" s="35">
        <f>SUM(1277848+1428580+34469+56317+470+34003+31130+32885+42428+40755+46730+455+630+750+36050+42127+750+35772+37845+736+35678+41453+950+37135+43719+783+30002+37100+824+15098+12520+840+12375+10313+493+4358+7172+380)</f>
        <v>3471923</v>
      </c>
      <c r="C20" s="35">
        <f>(8709650000+17437525400+561386250+502017800+10000000+532387500+453602500+508277500+497262600+494661000+503461000+9590000+12620000+15350000+548287500+503945000+19350000+540175000+491746000+14910000+527488500+494672000+20100000+580487500+507630000+19795000+457102000+494727000+21960000+214752500+472507000+20840000+192725000+470956000+11099000+69696500+466780400+8610000)/1000</f>
        <v>37418133.450000003</v>
      </c>
      <c r="D20" s="12"/>
      <c r="E20" s="117" t="s">
        <v>101</v>
      </c>
    </row>
    <row r="21" spans="1:6" ht="16" thickBot="1">
      <c r="A21" s="105" t="s">
        <v>52</v>
      </c>
      <c r="B21" s="35">
        <f xml:space="preserve"> SUM(42854+5149+1480+300+5100+4850+5450+1000+1150+1150+285+310+350+5600+1170+305+3550+1130+350+3942+1250+388+5875+1122+339+4400+1392+386+3178+1140+420+1080+655+277+680+330+244)</f>
        <v>108631</v>
      </c>
      <c r="C21" s="35">
        <f>SUM(367200000+102562000+51900000+2820000+105200000+98100000+111500000+33750000+39000000+40500000+2600000+3010000+3380000+113500000+39975000+2840000+76150000+36600000+3330000+83124000+40500000+3731000+114250000+40335000+3135000+92100000+47985000+3605000+69084000+39600000+3950000+19540000+25470000+2581000+14720000+12600000+2270000)/1000</f>
        <v>1852497</v>
      </c>
      <c r="D21" s="12"/>
      <c r="E21" s="117" t="s">
        <v>99</v>
      </c>
    </row>
    <row r="22" spans="1:6" ht="16" thickBot="1">
      <c r="A22" s="105" t="s">
        <v>53</v>
      </c>
      <c r="B22" s="35">
        <v>0</v>
      </c>
      <c r="C22" s="35">
        <v>0</v>
      </c>
      <c r="D22" s="12"/>
      <c r="E22" s="117"/>
    </row>
    <row r="23" spans="1:6" ht="16" thickBot="1">
      <c r="A23" s="105" t="s">
        <v>54</v>
      </c>
      <c r="B23" s="35">
        <v>0</v>
      </c>
      <c r="C23" s="35">
        <v>0</v>
      </c>
      <c r="D23" s="12"/>
      <c r="E23" s="117"/>
    </row>
    <row r="24" spans="1:6" ht="16" thickBot="1">
      <c r="A24" s="105" t="s">
        <v>55</v>
      </c>
      <c r="B24" s="35">
        <f>SUM(56874+4810+175+1300+5350+5350+4700+1250+1130+1205+170+190+198+5700+1165+180+5850+1208+230+6215+1370+325+5443+1120+196+5320+1160+190+4100+1210+260+2705+940+264+2400+700+190)</f>
        <v>131143</v>
      </c>
      <c r="C24" s="35">
        <f>SUM(690545000+216450000+3500000+7295000+240750000+240750000+211500000+8795000+9145000+9670000+3800000+4350000+3660000+256500000+9945000+4600000+263250000+10145000+5100000+279675000+10945000+6750000+244935000+9195000+4830000+239400000+9345000+5400000+184500000+9845000+7500000+121725000+5845000+7540000+108000000+5795000+5050000)/1000</f>
        <v>3466025</v>
      </c>
      <c r="D24" s="12"/>
      <c r="E24" s="117" t="s">
        <v>100</v>
      </c>
    </row>
    <row r="25" spans="1:6" ht="16" thickBot="1">
      <c r="A25" s="7">
        <v>2023</v>
      </c>
      <c r="B25" s="37">
        <f>SUM(B8:B24)</f>
        <v>4540993</v>
      </c>
      <c r="C25" s="37">
        <f>SUM(C8:C24)</f>
        <v>64993446.850000001</v>
      </c>
      <c r="D25" s="12"/>
      <c r="E25" s="12"/>
    </row>
    <row r="26" spans="1:6" ht="16" thickBot="1">
      <c r="A26" s="7">
        <f>A25-1</f>
        <v>2022</v>
      </c>
      <c r="B26" s="25">
        <v>4029571</v>
      </c>
      <c r="C26" s="25">
        <v>52516643</v>
      </c>
      <c r="D26" s="12"/>
      <c r="E26" s="12"/>
    </row>
    <row r="27" spans="1:6" ht="16" thickBot="1">
      <c r="A27" s="7">
        <f t="shared" ref="A27:A29" si="0">A26-1</f>
        <v>2021</v>
      </c>
      <c r="B27" s="25">
        <v>3675474</v>
      </c>
      <c r="C27" s="25">
        <v>47817447</v>
      </c>
      <c r="D27" s="12"/>
      <c r="E27" s="106"/>
      <c r="F27" s="107"/>
    </row>
    <row r="28" spans="1:6" ht="16" thickBot="1">
      <c r="A28" s="7">
        <f t="shared" si="0"/>
        <v>2020</v>
      </c>
      <c r="B28" s="25">
        <v>3827110</v>
      </c>
      <c r="C28" s="25">
        <v>35263708</v>
      </c>
      <c r="D28" s="12"/>
      <c r="E28" s="12"/>
    </row>
    <row r="29" spans="1:6" ht="16" thickBot="1">
      <c r="A29" s="7">
        <f t="shared" si="0"/>
        <v>2019</v>
      </c>
      <c r="B29" s="25">
        <v>3897601</v>
      </c>
      <c r="C29" s="25">
        <v>35649385</v>
      </c>
      <c r="D29" s="12"/>
      <c r="E29" s="12"/>
    </row>
    <row r="30" spans="1:6">
      <c r="A30" s="2"/>
      <c r="B30" s="2"/>
      <c r="C30" s="2"/>
      <c r="D30" s="12"/>
      <c r="E30" s="12"/>
    </row>
    <row r="31" spans="1:6">
      <c r="A31" s="2"/>
      <c r="B31" s="2"/>
      <c r="C31" s="2"/>
      <c r="D31" s="12"/>
      <c r="E31" s="12"/>
    </row>
    <row r="32" spans="1:6">
      <c r="A32" s="132" t="s">
        <v>32</v>
      </c>
      <c r="B32" s="132"/>
      <c r="C32" s="132"/>
      <c r="D32" s="132"/>
      <c r="E32" s="12"/>
    </row>
  </sheetData>
  <mergeCells count="7">
    <mergeCell ref="A32:D32"/>
    <mergeCell ref="A1:C1"/>
    <mergeCell ref="A2:C2"/>
    <mergeCell ref="A3:C3"/>
    <mergeCell ref="A5:A6"/>
    <mergeCell ref="B5:B6"/>
    <mergeCell ref="C5:C6"/>
  </mergeCells>
  <pageMargins left="0.7" right="0.7" top="0.75" bottom="0.75" header="0.3" footer="0.3"/>
  <pageSetup paperSize="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D27"/>
  <sheetViews>
    <sheetView topLeftCell="A16" zoomScalePageLayoutView="73" workbookViewId="0">
      <selection activeCell="B32" sqref="B32"/>
    </sheetView>
  </sheetViews>
  <sheetFormatPr defaultColWidth="9" defaultRowHeight="14.5"/>
  <cols>
    <col min="1" max="1" width="27.7265625" customWidth="1"/>
    <col min="2" max="3" width="25.453125" customWidth="1"/>
    <col min="5" max="5" width="19.81640625" customWidth="1"/>
  </cols>
  <sheetData>
    <row r="1" spans="1:4" ht="15.5">
      <c r="A1" s="139" t="s">
        <v>0</v>
      </c>
      <c r="B1" s="139"/>
      <c r="C1" s="139"/>
      <c r="D1" s="2"/>
    </row>
    <row r="2" spans="1:4" ht="15.5">
      <c r="A2" s="139" t="s">
        <v>17</v>
      </c>
      <c r="B2" s="139"/>
      <c r="C2" s="139"/>
      <c r="D2" s="2"/>
    </row>
    <row r="3" spans="1:4" ht="15.5">
      <c r="A3" s="139" t="s">
        <v>94</v>
      </c>
      <c r="B3" s="139"/>
      <c r="C3" s="139"/>
      <c r="D3" s="2"/>
    </row>
    <row r="4" spans="1:4" ht="15" thickBot="1">
      <c r="A4" s="2"/>
      <c r="B4" s="2"/>
      <c r="C4" s="2"/>
      <c r="D4" s="2"/>
    </row>
    <row r="5" spans="1:4" ht="31.5" thickBot="1">
      <c r="A5" s="9" t="s">
        <v>1</v>
      </c>
      <c r="B5" s="8" t="s">
        <v>30</v>
      </c>
      <c r="C5" s="8" t="s">
        <v>34</v>
      </c>
      <c r="D5" s="2"/>
    </row>
    <row r="6" spans="1:4" ht="16" thickBot="1">
      <c r="A6" s="10" t="s">
        <v>14</v>
      </c>
      <c r="B6" s="11" t="s">
        <v>15</v>
      </c>
      <c r="C6" s="11" t="s">
        <v>16</v>
      </c>
      <c r="D6" s="2"/>
    </row>
    <row r="7" spans="1:4" ht="16" thickBot="1">
      <c r="A7" s="6" t="s">
        <v>2</v>
      </c>
      <c r="B7" s="32">
        <f>'[1]REKAP PEL NON PUD 2023'!$B$35</f>
        <v>265252.09999999998</v>
      </c>
      <c r="C7" s="32">
        <f>'[1]REKAP PEL NON PUD 2023'!$B$38/1000</f>
        <v>4354493.45</v>
      </c>
      <c r="D7" s="2"/>
    </row>
    <row r="8" spans="1:4" ht="16" thickBot="1">
      <c r="A8" s="6" t="s">
        <v>3</v>
      </c>
      <c r="B8" s="32">
        <f>'[1]REKAP PEL NON PUD 2023'!$C$35</f>
        <v>243851.8</v>
      </c>
      <c r="C8" s="32">
        <f>'[1]REKAP PEL NON PUD 2023'!$C$38/1000</f>
        <v>5881256.2999999998</v>
      </c>
      <c r="D8" s="2"/>
    </row>
    <row r="9" spans="1:4" ht="16" thickBot="1">
      <c r="A9" s="6" t="s">
        <v>4</v>
      </c>
      <c r="B9" s="32">
        <f>'[1]REKAP PEL NON PUD 2023'!$D$35</f>
        <v>371193.8</v>
      </c>
      <c r="C9" s="32">
        <f>'[1]REKAP PEL NON PUD 2023'!$D$38/1000</f>
        <v>5181452.7</v>
      </c>
      <c r="D9" s="2"/>
    </row>
    <row r="10" spans="1:4" ht="16" thickBot="1">
      <c r="A10" s="6" t="s">
        <v>5</v>
      </c>
      <c r="B10" s="32">
        <f>'[1]REKAP PEL NON PUD 2023'!$E$35</f>
        <v>448526</v>
      </c>
      <c r="C10" s="32">
        <f>'[1]REKAP PEL NON PUD 2023'!$E$38/1000</f>
        <v>6419735.2000000002</v>
      </c>
      <c r="D10" s="2"/>
    </row>
    <row r="11" spans="1:4" ht="16" thickBot="1">
      <c r="A11" s="6" t="s">
        <v>6</v>
      </c>
      <c r="B11" s="32">
        <f>'[1]REKAP PEL NON PUD 2023'!$F$35</f>
        <v>512375</v>
      </c>
      <c r="C11" s="32">
        <f>'[1]REKAP PEL NON PUD 2023'!$F$38/1000</f>
        <v>7280179.5999999996</v>
      </c>
      <c r="D11" s="2"/>
    </row>
    <row r="12" spans="1:4" ht="16" thickBot="1">
      <c r="A12" s="6" t="s">
        <v>7</v>
      </c>
      <c r="B12" s="32">
        <f>'[1]REKAP PEL NON PUD 2023'!$G$35</f>
        <v>426129.2</v>
      </c>
      <c r="C12" s="32">
        <f>'[1]REKAP PEL NON PUD 2023'!$G$38/1000</f>
        <v>5308581</v>
      </c>
      <c r="D12" s="2"/>
    </row>
    <row r="13" spans="1:4" ht="16" thickBot="1">
      <c r="A13" s="6" t="s">
        <v>8</v>
      </c>
      <c r="B13" s="32">
        <f>'[1]REKAP PEL NON PUD 2023'!$H$35</f>
        <v>595241.30000000005</v>
      </c>
      <c r="C13" s="32">
        <f>'[1]REKAP PEL NON PUD 2023'!$H$38/1000</f>
        <v>4817204.5</v>
      </c>
      <c r="D13" s="2"/>
    </row>
    <row r="14" spans="1:4" ht="16" thickBot="1">
      <c r="A14" s="6" t="s">
        <v>9</v>
      </c>
      <c r="B14" s="32">
        <f>'[1]REKAP PEL NON PUD 2023'!$I$35</f>
        <v>470449.9</v>
      </c>
      <c r="C14" s="32">
        <f>'[1]REKAP PEL NON PUD 2023'!$I$38/1000</f>
        <v>5697573.5</v>
      </c>
      <c r="D14" s="2"/>
    </row>
    <row r="15" spans="1:4" ht="16" thickBot="1">
      <c r="A15" s="6" t="s">
        <v>10</v>
      </c>
      <c r="B15" s="32">
        <f>'[1]REKAP PEL NON PUD 2023'!$J$35</f>
        <v>413565.3</v>
      </c>
      <c r="C15" s="32">
        <f>'[1]REKAP PEL NON PUD 2023'!$J$38/1000</f>
        <v>6152369</v>
      </c>
      <c r="D15" s="2"/>
    </row>
    <row r="16" spans="1:4" ht="16" thickBot="1">
      <c r="A16" s="6" t="s">
        <v>11</v>
      </c>
      <c r="B16" s="32">
        <f>'[1]REKAP PEL NON PUD 2023'!$K$35</f>
        <v>357589.7</v>
      </c>
      <c r="C16" s="32">
        <f>'[1]REKAP PEL NON PUD 2023'!$K$38/1000</f>
        <v>5495608</v>
      </c>
      <c r="D16" s="2"/>
    </row>
    <row r="17" spans="1:4" ht="16" thickBot="1">
      <c r="A17" s="6" t="s">
        <v>12</v>
      </c>
      <c r="B17" s="32">
        <f>'[1]REKAP PEL NON PUD 2023'!$L$35</f>
        <v>312707.20000000001</v>
      </c>
      <c r="C17" s="32">
        <f>'[1]REKAP PEL NON PUD 2023'!$L$38/1000</f>
        <v>6068361.7000000002</v>
      </c>
      <c r="D17" s="2"/>
    </row>
    <row r="18" spans="1:4" ht="16" thickBot="1">
      <c r="A18" s="6" t="s">
        <v>13</v>
      </c>
      <c r="B18" s="32">
        <f>'[1]REKAP PEL NON PUD 2023'!$M$35</f>
        <v>124112</v>
      </c>
      <c r="C18" s="32">
        <f>'[1]REKAP PEL NON PUD 2023'!$M$38/1000</f>
        <v>2336631.9</v>
      </c>
      <c r="D18" s="2"/>
    </row>
    <row r="19" spans="1:4" ht="16" thickBot="1">
      <c r="A19" s="7">
        <v>2023</v>
      </c>
      <c r="B19" s="36">
        <f>SUM(B7:B18)</f>
        <v>4540993.3</v>
      </c>
      <c r="C19" s="37">
        <f>SUM(C7:C18)</f>
        <v>64993446.850000001</v>
      </c>
      <c r="D19" s="2"/>
    </row>
    <row r="20" spans="1:4" ht="16" thickBot="1">
      <c r="A20" s="7">
        <f>A19-1</f>
        <v>2022</v>
      </c>
      <c r="B20" s="25">
        <v>4029571</v>
      </c>
      <c r="C20" s="37">
        <v>52516643</v>
      </c>
      <c r="D20" s="2"/>
    </row>
    <row r="21" spans="1:4" ht="16" thickBot="1">
      <c r="A21" s="7">
        <f t="shared" ref="A21:A23" si="0">A20-1</f>
        <v>2021</v>
      </c>
      <c r="B21" s="25">
        <v>3675474</v>
      </c>
      <c r="C21" s="37">
        <v>47817447</v>
      </c>
      <c r="D21" s="2"/>
    </row>
    <row r="22" spans="1:4" ht="16" thickBot="1">
      <c r="A22" s="7">
        <f t="shared" si="0"/>
        <v>2020</v>
      </c>
      <c r="B22" s="25">
        <v>3827110</v>
      </c>
      <c r="C22" s="37">
        <v>35263708</v>
      </c>
      <c r="D22" s="2"/>
    </row>
    <row r="23" spans="1:4" ht="16" thickBot="1">
      <c r="A23" s="7">
        <f t="shared" si="0"/>
        <v>2019</v>
      </c>
      <c r="B23" s="25">
        <v>3897601</v>
      </c>
      <c r="C23" s="37">
        <v>35649385</v>
      </c>
      <c r="D23" s="2"/>
    </row>
    <row r="24" spans="1:4">
      <c r="A24" s="2"/>
      <c r="B24" s="2"/>
      <c r="C24" s="2"/>
      <c r="D24" s="2"/>
    </row>
    <row r="25" spans="1:4">
      <c r="A25" s="2"/>
      <c r="B25" s="2"/>
      <c r="C25" s="2"/>
      <c r="D25" s="2"/>
    </row>
    <row r="26" spans="1:4">
      <c r="A26" s="132" t="s">
        <v>32</v>
      </c>
      <c r="B26" s="132"/>
      <c r="C26" s="132"/>
      <c r="D26" s="132"/>
    </row>
    <row r="27" spans="1:4">
      <c r="A27" s="132" t="s">
        <v>33</v>
      </c>
      <c r="B27" s="132"/>
      <c r="C27" s="132"/>
      <c r="D27" s="132"/>
    </row>
  </sheetData>
  <mergeCells count="5">
    <mergeCell ref="A1:C1"/>
    <mergeCell ref="A2:C2"/>
    <mergeCell ref="A3:C3"/>
    <mergeCell ref="A26:D26"/>
    <mergeCell ref="A27:D27"/>
  </mergeCells>
  <pageMargins left="0.7" right="0.7" top="0.75" bottom="0.75" header="0.3" footer="0.3"/>
  <pageSetup paperSize="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D31"/>
  <sheetViews>
    <sheetView zoomScale="80" zoomScaleNormal="80" zoomScalePageLayoutView="80" workbookViewId="0">
      <selection activeCell="C27" sqref="C27"/>
    </sheetView>
  </sheetViews>
  <sheetFormatPr defaultColWidth="9" defaultRowHeight="14.5"/>
  <cols>
    <col min="1" max="1" width="27.7265625" customWidth="1"/>
    <col min="2" max="3" width="25.453125" customWidth="1"/>
  </cols>
  <sheetData>
    <row r="1" spans="1:4">
      <c r="A1" s="133" t="s">
        <v>0</v>
      </c>
      <c r="B1" s="133"/>
      <c r="C1" s="133"/>
      <c r="D1" s="2"/>
    </row>
    <row r="2" spans="1:4">
      <c r="A2" s="133" t="s">
        <v>57</v>
      </c>
      <c r="B2" s="133"/>
      <c r="C2" s="133"/>
      <c r="D2" s="2"/>
    </row>
    <row r="3" spans="1:4">
      <c r="A3" s="133" t="s">
        <v>95</v>
      </c>
      <c r="B3" s="133"/>
      <c r="C3" s="133"/>
      <c r="D3" s="2"/>
    </row>
    <row r="4" spans="1:4" ht="15" thickBot="1">
      <c r="A4" s="2"/>
      <c r="B4" s="2"/>
      <c r="C4" s="2"/>
      <c r="D4" s="2"/>
    </row>
    <row r="5" spans="1:4" ht="37.5" customHeight="1" thickBot="1">
      <c r="A5" s="9" t="s">
        <v>37</v>
      </c>
      <c r="B5" s="8" t="s">
        <v>38</v>
      </c>
      <c r="C5" s="3" t="s">
        <v>30</v>
      </c>
      <c r="D5" s="2"/>
    </row>
    <row r="6" spans="1:4" ht="16" thickBot="1">
      <c r="A6" s="4">
        <v>1</v>
      </c>
      <c r="B6" s="5">
        <v>2</v>
      </c>
      <c r="C6" s="5">
        <v>3</v>
      </c>
      <c r="D6" s="2"/>
    </row>
    <row r="7" spans="1:4" ht="16" thickBot="1">
      <c r="A7" s="6" t="s">
        <v>39</v>
      </c>
      <c r="B7" s="32">
        <v>0</v>
      </c>
      <c r="C7" s="32">
        <v>0</v>
      </c>
      <c r="D7" s="2"/>
    </row>
    <row r="8" spans="1:4" ht="16" thickBot="1">
      <c r="A8" s="6" t="s">
        <v>40</v>
      </c>
      <c r="B8" s="32">
        <v>0</v>
      </c>
      <c r="C8" s="32">
        <v>0</v>
      </c>
      <c r="D8" s="2"/>
    </row>
    <row r="9" spans="1:4" ht="16" thickBot="1">
      <c r="A9" s="6" t="s">
        <v>41</v>
      </c>
      <c r="B9" s="32">
        <v>0</v>
      </c>
      <c r="C9" s="32">
        <v>0</v>
      </c>
      <c r="D9" s="2"/>
    </row>
    <row r="10" spans="1:4" ht="16" thickBot="1">
      <c r="A10" s="6" t="s">
        <v>42</v>
      </c>
      <c r="B10" s="32">
        <v>0</v>
      </c>
      <c r="C10" s="32">
        <v>0</v>
      </c>
      <c r="D10" s="2"/>
    </row>
    <row r="11" spans="1:4" ht="16" thickBot="1">
      <c r="A11" s="6" t="s">
        <v>43</v>
      </c>
      <c r="B11" s="32">
        <v>0</v>
      </c>
      <c r="C11" s="32">
        <v>0</v>
      </c>
      <c r="D11" s="2"/>
    </row>
    <row r="12" spans="1:4" ht="16" thickBot="1">
      <c r="A12" s="6" t="s">
        <v>44</v>
      </c>
      <c r="B12" s="32">
        <v>0</v>
      </c>
      <c r="C12" s="32">
        <v>0</v>
      </c>
      <c r="D12" s="2"/>
    </row>
    <row r="13" spans="1:4" ht="16" thickBot="1">
      <c r="A13" s="6" t="s">
        <v>45</v>
      </c>
      <c r="B13" s="32">
        <v>0</v>
      </c>
      <c r="C13" s="32">
        <v>0</v>
      </c>
      <c r="D13" s="2"/>
    </row>
    <row r="14" spans="1:4" ht="16" thickBot="1">
      <c r="A14" s="6" t="s">
        <v>46</v>
      </c>
      <c r="B14" s="32">
        <v>0</v>
      </c>
      <c r="C14" s="32">
        <v>0</v>
      </c>
      <c r="D14" s="2"/>
    </row>
    <row r="15" spans="1:4" ht="16" thickBot="1">
      <c r="A15" s="6" t="s">
        <v>47</v>
      </c>
      <c r="B15" s="32">
        <v>0</v>
      </c>
      <c r="C15" s="32">
        <v>0</v>
      </c>
      <c r="D15" s="2"/>
    </row>
    <row r="16" spans="1:4" ht="16" thickBot="1">
      <c r="A16" s="6" t="s">
        <v>48</v>
      </c>
      <c r="B16" s="118">
        <v>1835.8</v>
      </c>
      <c r="C16" s="119">
        <f>[2]PAYAU!$C$16</f>
        <v>20392988.5</v>
      </c>
      <c r="D16" s="2"/>
    </row>
    <row r="17" spans="1:4" ht="16" thickBot="1">
      <c r="A17" s="6" t="s">
        <v>49</v>
      </c>
      <c r="B17" s="118">
        <v>1594</v>
      </c>
      <c r="C17" s="119">
        <f>[2]PAYAU!$C$17</f>
        <v>1709415.7875000001</v>
      </c>
      <c r="D17" s="2"/>
    </row>
    <row r="18" spans="1:4" ht="16" thickBot="1">
      <c r="A18" s="6" t="s">
        <v>50</v>
      </c>
      <c r="B18" s="118">
        <v>0</v>
      </c>
      <c r="C18" s="32">
        <v>0</v>
      </c>
      <c r="D18" s="2"/>
    </row>
    <row r="19" spans="1:4" ht="16" thickBot="1">
      <c r="A19" s="6" t="s">
        <v>51</v>
      </c>
      <c r="B19" s="118">
        <v>1717.5</v>
      </c>
      <c r="C19" s="119">
        <f>[2]PAYAU!$C$18</f>
        <v>1602546.37</v>
      </c>
      <c r="D19" s="2"/>
    </row>
    <row r="20" spans="1:4" ht="16" thickBot="1">
      <c r="A20" s="6" t="s">
        <v>52</v>
      </c>
      <c r="B20" s="118">
        <v>1196.54</v>
      </c>
      <c r="C20" s="119">
        <f>[2]PAYAU!$C$19</f>
        <v>429694.04</v>
      </c>
      <c r="D20" s="2"/>
    </row>
    <row r="21" spans="1:4" ht="16" thickBot="1">
      <c r="A21" s="6" t="s">
        <v>53</v>
      </c>
      <c r="B21" s="118">
        <v>0</v>
      </c>
      <c r="C21" s="32">
        <v>0</v>
      </c>
      <c r="D21" s="2"/>
    </row>
    <row r="22" spans="1:4" ht="16" thickBot="1">
      <c r="A22" s="6" t="s">
        <v>54</v>
      </c>
      <c r="B22" s="118">
        <v>0</v>
      </c>
      <c r="C22" s="32">
        <v>0</v>
      </c>
      <c r="D22" s="2"/>
    </row>
    <row r="23" spans="1:4" ht="16" thickBot="1">
      <c r="A23" s="6" t="s">
        <v>55</v>
      </c>
      <c r="B23" s="118">
        <v>2709.12</v>
      </c>
      <c r="C23" s="119">
        <f>[2]PAYAU!$C$20</f>
        <v>47342675.700000003</v>
      </c>
      <c r="D23" s="2"/>
    </row>
    <row r="24" spans="1:4" ht="16" thickBot="1">
      <c r="A24" s="7">
        <v>2023</v>
      </c>
      <c r="B24" s="40">
        <f>SUM(B7:B23)</f>
        <v>9052.9599999999991</v>
      </c>
      <c r="C24" s="37">
        <f>SUM(C7:C23)</f>
        <v>71477320.397500008</v>
      </c>
      <c r="D24" s="2"/>
    </row>
    <row r="25" spans="1:4" ht="16" thickBot="1">
      <c r="A25" s="7">
        <f>A24-1</f>
        <v>2022</v>
      </c>
      <c r="B25" s="40">
        <v>9052.9599999999991</v>
      </c>
      <c r="C25" s="37">
        <v>74985840</v>
      </c>
      <c r="D25" s="2"/>
    </row>
    <row r="26" spans="1:4" ht="16" thickBot="1">
      <c r="A26" s="7">
        <f t="shared" ref="A26:A28" si="0">A25-1</f>
        <v>2021</v>
      </c>
      <c r="B26" s="40">
        <v>9052.9599999999991</v>
      </c>
      <c r="C26" s="37">
        <v>71987789</v>
      </c>
      <c r="D26" s="2"/>
    </row>
    <row r="27" spans="1:4" ht="16" thickBot="1">
      <c r="A27" s="7">
        <f t="shared" si="0"/>
        <v>2020</v>
      </c>
      <c r="B27" s="40">
        <v>9120.2999999999993</v>
      </c>
      <c r="C27" s="37">
        <v>69173284</v>
      </c>
      <c r="D27" s="2"/>
    </row>
    <row r="28" spans="1:4" ht="16" thickBot="1">
      <c r="A28" s="7">
        <f t="shared" si="0"/>
        <v>2019</v>
      </c>
      <c r="B28" s="41">
        <v>12748</v>
      </c>
      <c r="C28" s="37">
        <v>70302258</v>
      </c>
      <c r="D28" s="2"/>
    </row>
    <row r="29" spans="1:4">
      <c r="A29" s="2"/>
      <c r="B29" s="2"/>
      <c r="C29" s="2"/>
      <c r="D29" s="2"/>
    </row>
    <row r="30" spans="1:4">
      <c r="A30" s="2"/>
      <c r="B30" s="2"/>
      <c r="C30" s="2"/>
      <c r="D30" s="2"/>
    </row>
    <row r="31" spans="1:4">
      <c r="A31" s="132" t="s">
        <v>56</v>
      </c>
      <c r="B31" s="132"/>
      <c r="C31" s="132"/>
      <c r="D31" s="132"/>
    </row>
  </sheetData>
  <mergeCells count="4">
    <mergeCell ref="A1:C1"/>
    <mergeCell ref="A2:C2"/>
    <mergeCell ref="A3:C3"/>
    <mergeCell ref="A31:D31"/>
  </mergeCells>
  <pageMargins left="0.7" right="0.7" top="0.75" bottom="0.75" header="0.3" footer="0.3"/>
  <pageSetup paperSize="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G27"/>
  <sheetViews>
    <sheetView zoomScale="80" zoomScaleNormal="80" workbookViewId="0">
      <selection activeCell="E20" sqref="E20"/>
    </sheetView>
  </sheetViews>
  <sheetFormatPr defaultColWidth="9" defaultRowHeight="14.5"/>
  <cols>
    <col min="1" max="1" width="27.7265625" customWidth="1"/>
    <col min="2" max="3" width="25.453125" customWidth="1"/>
    <col min="6" max="6" width="14.54296875" bestFit="1" customWidth="1"/>
    <col min="7" max="7" width="20.1796875" bestFit="1" customWidth="1"/>
  </cols>
  <sheetData>
    <row r="1" spans="1:7" ht="15.5">
      <c r="A1" s="139" t="s">
        <v>0</v>
      </c>
      <c r="B1" s="139"/>
      <c r="C1" s="139"/>
      <c r="D1" s="2"/>
    </row>
    <row r="2" spans="1:7" ht="15.5">
      <c r="A2" s="139" t="s">
        <v>91</v>
      </c>
      <c r="B2" s="139"/>
      <c r="C2" s="139"/>
      <c r="D2" s="2"/>
    </row>
    <row r="3" spans="1:7" ht="15.5">
      <c r="A3" s="139" t="s">
        <v>94</v>
      </c>
      <c r="B3" s="139"/>
      <c r="C3" s="139"/>
      <c r="D3" s="2"/>
    </row>
    <row r="4" spans="1:7" ht="15" thickBot="1">
      <c r="A4" s="2"/>
      <c r="B4" s="2"/>
      <c r="C4" s="2"/>
      <c r="D4" s="2"/>
    </row>
    <row r="5" spans="1:7" ht="40.5" customHeight="1" thickBot="1">
      <c r="A5" s="9" t="s">
        <v>1</v>
      </c>
      <c r="B5" s="8" t="s">
        <v>30</v>
      </c>
      <c r="C5" s="8" t="s">
        <v>34</v>
      </c>
      <c r="D5" s="2"/>
    </row>
    <row r="6" spans="1:7" ht="16" thickBot="1">
      <c r="A6" s="10" t="s">
        <v>14</v>
      </c>
      <c r="B6" s="11" t="s">
        <v>15</v>
      </c>
      <c r="C6" s="30" t="s">
        <v>16</v>
      </c>
      <c r="D6" s="2"/>
    </row>
    <row r="7" spans="1:7" ht="16" thickBot="1">
      <c r="A7" s="6" t="s">
        <v>2</v>
      </c>
      <c r="B7" s="29">
        <f>'[3]REKAP TW 1-4 PAYAU 2023'!$E$14</f>
        <v>5252290</v>
      </c>
      <c r="C7" s="51">
        <f>'[3]REKAP TW 1-4 PAYAU 2023'!$E$48/1000</f>
        <v>27262450</v>
      </c>
      <c r="D7" s="2"/>
      <c r="F7" s="27"/>
      <c r="G7" s="27"/>
    </row>
    <row r="8" spans="1:7" ht="16" thickBot="1">
      <c r="A8" s="6" t="s">
        <v>3</v>
      </c>
      <c r="B8" s="29">
        <f>'[3]REKAP TW 1-4 PAYAU 2023'!$F$14</f>
        <v>5186683</v>
      </c>
      <c r="C8" s="51">
        <f>'[3]REKAP TW 1-4 PAYAU 2023'!$F$48/1000</f>
        <v>21968060</v>
      </c>
      <c r="D8" s="2"/>
      <c r="F8" s="27"/>
      <c r="G8" s="27"/>
    </row>
    <row r="9" spans="1:7" ht="16" thickBot="1">
      <c r="A9" s="6" t="s">
        <v>4</v>
      </c>
      <c r="B9" s="29">
        <f>'[3]REKAP TW 1-4 PAYAU 2023'!$G$14</f>
        <v>5051308</v>
      </c>
      <c r="C9" s="51">
        <f>'[3]REKAP TW 1-4 PAYAU 2023'!$G$48/1000</f>
        <v>25688060</v>
      </c>
      <c r="D9" s="2"/>
      <c r="F9" s="27"/>
      <c r="G9" s="27"/>
    </row>
    <row r="10" spans="1:7" ht="16" thickBot="1">
      <c r="A10" s="6" t="s">
        <v>5</v>
      </c>
      <c r="B10" s="29">
        <f>'[3]REKAP TW 1-4 PAYAU 2023'!$H$14</f>
        <v>4332324</v>
      </c>
      <c r="C10" s="102">
        <f>'[3]REKAP TW 1-4 PAYAU 2023'!$H$48/1000</f>
        <v>20405801</v>
      </c>
      <c r="D10" s="2"/>
      <c r="F10" s="27"/>
      <c r="G10" s="27"/>
    </row>
    <row r="11" spans="1:7" ht="16" thickBot="1">
      <c r="A11" s="6" t="s">
        <v>6</v>
      </c>
      <c r="B11" s="29">
        <f>'[3]REKAP TW 1-4 PAYAU 2023'!$I$14</f>
        <v>4659038</v>
      </c>
      <c r="C11" s="103">
        <f>'[3]REKAP TW 1-4 PAYAU 2023'!$I$48/1000</f>
        <v>23771620</v>
      </c>
      <c r="D11" s="2"/>
      <c r="F11" s="27"/>
      <c r="G11" s="27"/>
    </row>
    <row r="12" spans="1:7" ht="16" thickBot="1">
      <c r="A12" s="6" t="s">
        <v>7</v>
      </c>
      <c r="B12" s="29">
        <f>'[3]REKAP TW 1-4 PAYAU 2023'!$J$14</f>
        <v>4815013</v>
      </c>
      <c r="C12" s="103">
        <f>'[3]REKAP TW 1-4 PAYAU 2023'!$J$48/1000</f>
        <v>21866565</v>
      </c>
      <c r="D12" s="2"/>
      <c r="F12" s="27"/>
      <c r="G12" s="27"/>
    </row>
    <row r="13" spans="1:7" ht="16" thickBot="1">
      <c r="A13" s="6" t="s">
        <v>8</v>
      </c>
      <c r="B13" s="29">
        <f>'[3]REKAP TW 1-4 PAYAU 2023'!$K$14</f>
        <v>6659955</v>
      </c>
      <c r="C13" s="103">
        <f>'[3]REKAP TW 1-4 PAYAU 2023'!$K$48/1000</f>
        <v>27398150</v>
      </c>
      <c r="D13" s="2"/>
      <c r="F13" s="27"/>
      <c r="G13" s="27"/>
    </row>
    <row r="14" spans="1:7" ht="16" thickBot="1">
      <c r="A14" s="6" t="s">
        <v>9</v>
      </c>
      <c r="B14" s="29">
        <f>'[3]REKAP TW 1-4 PAYAU 2023'!$L$14</f>
        <v>6837784</v>
      </c>
      <c r="C14" s="103">
        <f>'[3]REKAP TW 1-4 PAYAU 2023'!$L$48/1000</f>
        <v>20898500</v>
      </c>
      <c r="D14" s="2"/>
      <c r="F14" s="27"/>
      <c r="G14" s="27"/>
    </row>
    <row r="15" spans="1:7" ht="16" thickBot="1">
      <c r="A15" s="6" t="s">
        <v>10</v>
      </c>
      <c r="B15" s="29">
        <f>'[3]REKAP TW 1-4 PAYAU 2023'!$M$14</f>
        <v>7400446</v>
      </c>
      <c r="C15" s="103">
        <f>'[3]REKAP TW 1-4 PAYAU 2023'!$M$48/1000</f>
        <v>22868920</v>
      </c>
      <c r="D15" s="2"/>
      <c r="F15" s="27"/>
      <c r="G15" s="27"/>
    </row>
    <row r="16" spans="1:7" ht="16" thickBot="1">
      <c r="A16" s="6" t="s">
        <v>11</v>
      </c>
      <c r="B16" s="29">
        <f>'[3]REKAP TW 1-4 PAYAU 2023'!$N$14</f>
        <v>6832397.5</v>
      </c>
      <c r="C16" s="103">
        <f>'[3]REKAP TW 1-4 PAYAU 2023'!$N$49/1000</f>
        <v>26944292.5</v>
      </c>
      <c r="D16" s="2"/>
      <c r="F16" s="27"/>
      <c r="G16" s="27"/>
    </row>
    <row r="17" spans="1:7" ht="16" thickBot="1">
      <c r="A17" s="6" t="s">
        <v>12</v>
      </c>
      <c r="B17" s="29">
        <f>'[3]REKAP TW 1-4 PAYAU 2023'!$O$14</f>
        <v>7036757</v>
      </c>
      <c r="C17" s="103">
        <f>'[3]REKAP TW 1-4 PAYAU 2023'!$O$49/1000</f>
        <v>33170570</v>
      </c>
      <c r="D17" s="2"/>
      <c r="F17" s="27"/>
      <c r="G17" s="27"/>
    </row>
    <row r="18" spans="1:7" ht="16" thickBot="1">
      <c r="A18" s="6" t="s">
        <v>13</v>
      </c>
      <c r="B18" s="29">
        <f>'[3]REKAP TW 1-4 PAYAU 2023'!$P$14</f>
        <v>7413324</v>
      </c>
      <c r="C18" s="51">
        <f>'[3]REKAP TW 1-4 PAYAU 2023'!$P$49/1000</f>
        <v>34807130</v>
      </c>
      <c r="D18" s="2"/>
      <c r="F18" s="27"/>
      <c r="G18" s="27"/>
    </row>
    <row r="19" spans="1:7" ht="16" thickBot="1">
      <c r="A19" s="7">
        <v>2023</v>
      </c>
      <c r="B19" s="37">
        <f>SUM(B7:B18)</f>
        <v>71477319.5</v>
      </c>
      <c r="C19" s="37">
        <f>SUM(C7:C18)</f>
        <v>307050118.5</v>
      </c>
      <c r="D19" s="2"/>
      <c r="F19" s="27"/>
      <c r="G19" s="27"/>
    </row>
    <row r="20" spans="1:7" ht="16" thickBot="1">
      <c r="A20" s="7">
        <f>A19-1</f>
        <v>2022</v>
      </c>
      <c r="B20" s="42">
        <v>74985840</v>
      </c>
      <c r="C20" s="43">
        <v>524562488</v>
      </c>
      <c r="D20" s="2"/>
      <c r="F20" s="28"/>
      <c r="G20" s="28"/>
    </row>
    <row r="21" spans="1:7" ht="16" thickBot="1">
      <c r="A21" s="7">
        <f t="shared" ref="A21:A23" si="0">A20-1</f>
        <v>2021</v>
      </c>
      <c r="B21" s="42">
        <v>71987789</v>
      </c>
      <c r="C21" s="43">
        <v>491365366</v>
      </c>
      <c r="D21" s="2"/>
      <c r="F21" s="28"/>
      <c r="G21" s="28"/>
    </row>
    <row r="22" spans="1:7" ht="16" thickBot="1">
      <c r="A22" s="7">
        <f t="shared" si="0"/>
        <v>2020</v>
      </c>
      <c r="B22" s="42">
        <v>69173284</v>
      </c>
      <c r="C22" s="43">
        <v>434540222</v>
      </c>
      <c r="D22" s="2"/>
      <c r="F22" s="28"/>
      <c r="G22" s="28"/>
    </row>
    <row r="23" spans="1:7" ht="16" thickBot="1">
      <c r="A23" s="7">
        <f t="shared" si="0"/>
        <v>2019</v>
      </c>
      <c r="B23" s="44">
        <v>70302258</v>
      </c>
      <c r="C23" s="43">
        <v>407615301.08399999</v>
      </c>
      <c r="D23" s="2"/>
      <c r="F23" s="28"/>
      <c r="G23" s="28"/>
    </row>
    <row r="24" spans="1:7">
      <c r="A24" s="2"/>
      <c r="B24" s="2"/>
      <c r="C24" s="2"/>
      <c r="D24" s="2"/>
    </row>
    <row r="25" spans="1:7">
      <c r="A25" s="2"/>
      <c r="B25" s="2"/>
      <c r="C25" s="31"/>
      <c r="D25" s="2"/>
    </row>
    <row r="26" spans="1:7">
      <c r="A26" s="132" t="s">
        <v>32</v>
      </c>
      <c r="B26" s="132"/>
      <c r="C26" s="132"/>
      <c r="D26" s="132"/>
    </row>
    <row r="27" spans="1:7">
      <c r="A27" s="132"/>
      <c r="B27" s="132"/>
      <c r="C27" s="132"/>
      <c r="D27" s="132"/>
    </row>
  </sheetData>
  <mergeCells count="5">
    <mergeCell ref="A1:C1"/>
    <mergeCell ref="A2:C2"/>
    <mergeCell ref="A3:C3"/>
    <mergeCell ref="A26:D26"/>
    <mergeCell ref="A27:D27"/>
  </mergeCells>
  <pageMargins left="0.7" right="0.7" top="0.75" bottom="0.75" header="0.3" footer="0.3"/>
  <pageSetup paperSize="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D31"/>
  <sheetViews>
    <sheetView zoomScale="80" zoomScaleNormal="80" workbookViewId="0">
      <selection activeCell="I1" sqref="I1"/>
    </sheetView>
  </sheetViews>
  <sheetFormatPr defaultColWidth="9" defaultRowHeight="14.5"/>
  <cols>
    <col min="1" max="1" width="27.7265625" customWidth="1"/>
    <col min="2" max="3" width="25.453125" customWidth="1"/>
  </cols>
  <sheetData>
    <row r="1" spans="1:4" ht="15.5">
      <c r="A1" s="2"/>
      <c r="B1" s="1" t="s">
        <v>0</v>
      </c>
      <c r="C1" s="2"/>
      <c r="D1" s="2"/>
    </row>
    <row r="2" spans="1:4" ht="15.5">
      <c r="A2" s="139" t="s">
        <v>59</v>
      </c>
      <c r="B2" s="139"/>
      <c r="C2" s="139"/>
      <c r="D2" s="2"/>
    </row>
    <row r="3" spans="1:4" ht="15.5">
      <c r="A3" s="139" t="s">
        <v>95</v>
      </c>
      <c r="B3" s="139"/>
      <c r="C3" s="139"/>
      <c r="D3" s="2"/>
    </row>
    <row r="4" spans="1:4" ht="15" thickBot="1">
      <c r="A4" s="2"/>
      <c r="B4" s="2"/>
      <c r="C4" s="2"/>
      <c r="D4" s="2"/>
    </row>
    <row r="5" spans="1:4" ht="30" customHeight="1" thickBot="1">
      <c r="A5" s="9" t="s">
        <v>37</v>
      </c>
      <c r="B5" s="8" t="s">
        <v>38</v>
      </c>
      <c r="C5" s="8" t="s">
        <v>58</v>
      </c>
      <c r="D5" s="2"/>
    </row>
    <row r="6" spans="1:4" ht="15" thickBot="1">
      <c r="A6" s="13">
        <v>1</v>
      </c>
      <c r="B6" s="14">
        <v>2</v>
      </c>
      <c r="C6" s="14">
        <v>3</v>
      </c>
      <c r="D6" s="2"/>
    </row>
    <row r="7" spans="1:4" ht="16" thickBot="1">
      <c r="A7" s="15" t="s">
        <v>39</v>
      </c>
      <c r="B7" s="125">
        <f>31090/10000</f>
        <v>3.109</v>
      </c>
      <c r="C7" s="120">
        <v>36164</v>
      </c>
      <c r="D7" s="2"/>
    </row>
    <row r="8" spans="1:4" ht="16" thickBot="1">
      <c r="A8" s="15" t="s">
        <v>40</v>
      </c>
      <c r="B8" s="126">
        <f>21808/10000</f>
        <v>2.1808000000000001</v>
      </c>
      <c r="C8" s="121">
        <v>427820</v>
      </c>
      <c r="D8" s="2"/>
    </row>
    <row r="9" spans="1:4" ht="16" thickBot="1">
      <c r="A9" s="15" t="s">
        <v>41</v>
      </c>
      <c r="B9" s="127">
        <f>15807/10000</f>
        <v>1.5807</v>
      </c>
      <c r="C9" s="121">
        <v>287000</v>
      </c>
      <c r="D9" s="2"/>
    </row>
    <row r="10" spans="1:4" ht="16" thickBot="1">
      <c r="A10" s="15" t="s">
        <v>42</v>
      </c>
      <c r="B10" s="125">
        <f>28090/10000</f>
        <v>2.8090000000000002</v>
      </c>
      <c r="C10" s="121">
        <v>98166</v>
      </c>
      <c r="D10" s="2"/>
    </row>
    <row r="11" spans="1:4" ht="16" thickBot="1">
      <c r="A11" s="15" t="s">
        <v>43</v>
      </c>
      <c r="B11" s="126">
        <f>2185/10000</f>
        <v>0.2185</v>
      </c>
      <c r="C11" s="122">
        <f>319005+37377</f>
        <v>356382</v>
      </c>
      <c r="D11" s="2"/>
    </row>
    <row r="12" spans="1:4" ht="16" thickBot="1">
      <c r="A12" s="15" t="s">
        <v>44</v>
      </c>
      <c r="B12" s="126">
        <f>2050/10000</f>
        <v>0.20499999999999999</v>
      </c>
      <c r="C12" s="122">
        <v>313856</v>
      </c>
      <c r="D12" s="2"/>
    </row>
    <row r="13" spans="1:4" ht="16" thickBot="1">
      <c r="A13" s="15" t="s">
        <v>45</v>
      </c>
      <c r="B13" s="126">
        <f>680/10000</f>
        <v>6.8000000000000005E-2</v>
      </c>
      <c r="C13" s="122">
        <f>27064+14260</f>
        <v>41324</v>
      </c>
      <c r="D13" s="2"/>
    </row>
    <row r="14" spans="1:4" ht="16" thickBot="1">
      <c r="A14" s="15" t="s">
        <v>46</v>
      </c>
      <c r="B14" s="126">
        <f>532/10000</f>
        <v>5.3199999999999997E-2</v>
      </c>
      <c r="C14" s="120">
        <v>350</v>
      </c>
      <c r="D14" s="2"/>
    </row>
    <row r="15" spans="1:4" ht="16" thickBot="1">
      <c r="A15" s="15" t="s">
        <v>47</v>
      </c>
      <c r="B15" s="126">
        <f>1600/10000</f>
        <v>0.16</v>
      </c>
      <c r="C15" s="122">
        <f>9391+10103+623</f>
        <v>20117</v>
      </c>
      <c r="D15" s="2"/>
    </row>
    <row r="16" spans="1:4" ht="16" thickBot="1">
      <c r="A16" s="15" t="s">
        <v>48</v>
      </c>
      <c r="B16" s="126">
        <f>7890/10000</f>
        <v>0.78900000000000003</v>
      </c>
      <c r="C16" s="122">
        <v>373544</v>
      </c>
      <c r="D16" s="2"/>
    </row>
    <row r="17" spans="1:4" ht="16" thickBot="1">
      <c r="A17" s="15" t="s">
        <v>49</v>
      </c>
      <c r="B17" s="126">
        <f>4575/10000</f>
        <v>0.45750000000000002</v>
      </c>
      <c r="C17" s="122">
        <v>98203</v>
      </c>
      <c r="D17" s="2"/>
    </row>
    <row r="18" spans="1:4" ht="16" thickBot="1">
      <c r="A18" s="15" t="s">
        <v>50</v>
      </c>
      <c r="B18" s="127">
        <f>1500/10000</f>
        <v>0.15</v>
      </c>
      <c r="C18" s="123">
        <f>(78893+3322)-350</f>
        <v>81865</v>
      </c>
      <c r="D18" s="2"/>
    </row>
    <row r="19" spans="1:4" ht="16" thickBot="1">
      <c r="A19" s="15" t="s">
        <v>51</v>
      </c>
      <c r="B19" s="128">
        <f>49024/10000</f>
        <v>4.9024000000000001</v>
      </c>
      <c r="C19" s="123">
        <v>567712</v>
      </c>
      <c r="D19" s="2"/>
    </row>
    <row r="20" spans="1:4" ht="16" thickBot="1">
      <c r="A20" s="15" t="s">
        <v>52</v>
      </c>
      <c r="B20" s="128">
        <f>5890/10000</f>
        <v>0.58899999999999997</v>
      </c>
      <c r="C20" s="122">
        <f>465561+12160</f>
        <v>477721</v>
      </c>
      <c r="D20" s="2"/>
    </row>
    <row r="21" spans="1:4" ht="16" thickBot="1">
      <c r="A21" s="15" t="s">
        <v>53</v>
      </c>
      <c r="B21" s="127">
        <f>1105/10000</f>
        <v>0.1105</v>
      </c>
      <c r="C21" s="123">
        <v>2759</v>
      </c>
      <c r="D21" s="2"/>
    </row>
    <row r="22" spans="1:4" ht="16" thickBot="1">
      <c r="A22" s="15" t="s">
        <v>54</v>
      </c>
      <c r="B22" s="125">
        <f>455/10000</f>
        <v>4.5499999999999999E-2</v>
      </c>
      <c r="C22" s="122">
        <v>49868</v>
      </c>
      <c r="D22" s="2"/>
    </row>
    <row r="23" spans="1:4" ht="16" thickBot="1">
      <c r="A23" s="15" t="s">
        <v>55</v>
      </c>
      <c r="B23" s="127">
        <f>4620/10000</f>
        <v>0.46200000000000002</v>
      </c>
      <c r="C23" s="122">
        <f>224525+247</f>
        <v>224772</v>
      </c>
      <c r="D23" s="2"/>
    </row>
    <row r="24" spans="1:4" ht="16" thickBot="1">
      <c r="A24" s="7">
        <v>2023</v>
      </c>
      <c r="B24" s="124">
        <f>SUM(B7:B23)</f>
        <v>17.8901</v>
      </c>
      <c r="C24" s="76">
        <f>SUM(C7:C23)</f>
        <v>3457623</v>
      </c>
      <c r="D24" s="2"/>
    </row>
    <row r="25" spans="1:4" ht="16" thickBot="1">
      <c r="A25" s="7">
        <f>A24-1</f>
        <v>2022</v>
      </c>
      <c r="B25" s="45">
        <v>17.89</v>
      </c>
      <c r="C25" s="37">
        <v>4954780</v>
      </c>
      <c r="D25" s="2"/>
    </row>
    <row r="26" spans="1:4" ht="16" thickBot="1">
      <c r="A26" s="7">
        <f t="shared" ref="A26:A28" si="0">A25-1</f>
        <v>2021</v>
      </c>
      <c r="B26" s="45">
        <v>17.89</v>
      </c>
      <c r="C26" s="37">
        <v>3289898</v>
      </c>
      <c r="D26" s="2"/>
    </row>
    <row r="27" spans="1:4" ht="16" thickBot="1">
      <c r="A27" s="7">
        <f t="shared" si="0"/>
        <v>2020</v>
      </c>
      <c r="B27" s="45">
        <v>17.89</v>
      </c>
      <c r="C27" s="37">
        <v>2491297</v>
      </c>
      <c r="D27" s="2"/>
    </row>
    <row r="28" spans="1:4" ht="16" thickBot="1">
      <c r="A28" s="7">
        <f t="shared" si="0"/>
        <v>2019</v>
      </c>
      <c r="B28" s="46">
        <v>51.901000000000003</v>
      </c>
      <c r="C28" s="38">
        <v>2582936</v>
      </c>
      <c r="D28" s="2"/>
    </row>
    <row r="29" spans="1:4">
      <c r="A29" s="2"/>
      <c r="B29" s="2"/>
      <c r="C29" s="2"/>
      <c r="D29" s="2"/>
    </row>
    <row r="30" spans="1:4">
      <c r="A30" s="132" t="s">
        <v>32</v>
      </c>
      <c r="B30" s="132"/>
      <c r="C30" s="132"/>
      <c r="D30" s="132"/>
    </row>
    <row r="31" spans="1:4">
      <c r="A31" s="2"/>
      <c r="B31" s="2"/>
      <c r="C31" s="2"/>
      <c r="D31" s="2"/>
    </row>
  </sheetData>
  <mergeCells count="3">
    <mergeCell ref="A2:C2"/>
    <mergeCell ref="A3:C3"/>
    <mergeCell ref="A30:D30"/>
  </mergeCells>
  <pageMargins left="0.7" right="0.7" top="0.75" bottom="0.75" header="0.3" footer="0.3"/>
  <pageSetup paperSize="5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G26"/>
  <sheetViews>
    <sheetView zoomScalePageLayoutView="75" workbookViewId="0">
      <selection activeCell="G19" sqref="G19"/>
    </sheetView>
  </sheetViews>
  <sheetFormatPr defaultColWidth="9" defaultRowHeight="14.5"/>
  <cols>
    <col min="1" max="1" width="27.7265625" customWidth="1"/>
    <col min="2" max="2" width="25.453125" customWidth="1"/>
    <col min="3" max="3" width="23" customWidth="1"/>
    <col min="7" max="7" width="15.26953125" bestFit="1" customWidth="1"/>
  </cols>
  <sheetData>
    <row r="1" spans="1:7" ht="15" customHeight="1">
      <c r="A1" s="139" t="s">
        <v>0</v>
      </c>
      <c r="B1" s="139"/>
      <c r="C1" s="139"/>
      <c r="D1" s="2"/>
    </row>
    <row r="2" spans="1:7" ht="15.5">
      <c r="A2" s="139" t="s">
        <v>90</v>
      </c>
      <c r="B2" s="139"/>
      <c r="C2" s="139"/>
      <c r="D2" s="2"/>
    </row>
    <row r="3" spans="1:7" ht="15.5">
      <c r="A3" s="139" t="s">
        <v>94</v>
      </c>
      <c r="B3" s="139"/>
      <c r="C3" s="139"/>
      <c r="D3" s="2"/>
    </row>
    <row r="4" spans="1:7" ht="15" thickBot="1">
      <c r="A4" s="2"/>
      <c r="B4" s="2"/>
      <c r="C4" s="2"/>
      <c r="D4" s="2"/>
    </row>
    <row r="5" spans="1:7" ht="31.5" thickBot="1">
      <c r="A5" s="9" t="s">
        <v>60</v>
      </c>
      <c r="B5" s="8" t="s">
        <v>30</v>
      </c>
      <c r="C5" s="8" t="s">
        <v>36</v>
      </c>
      <c r="D5" s="2"/>
    </row>
    <row r="6" spans="1:7" ht="16" thickBot="1">
      <c r="A6" s="16">
        <v>1</v>
      </c>
      <c r="B6" s="17">
        <v>2</v>
      </c>
      <c r="C6" s="17">
        <v>3</v>
      </c>
      <c r="D6" s="2"/>
    </row>
    <row r="7" spans="1:7" ht="16" thickBot="1">
      <c r="A7" s="6" t="s">
        <v>2</v>
      </c>
      <c r="B7" s="32">
        <f>'[4]REKAP TW I-4 TAWAR 2023'!$E$48</f>
        <v>261897</v>
      </c>
      <c r="C7" s="32">
        <f>5646240500/1000</f>
        <v>5646240.5</v>
      </c>
      <c r="D7" s="2"/>
      <c r="F7" s="26"/>
      <c r="G7" s="26"/>
    </row>
    <row r="8" spans="1:7" ht="16" thickBot="1">
      <c r="A8" s="6" t="s">
        <v>3</v>
      </c>
      <c r="B8" s="32">
        <f>'[4]REKAP TW I-4 TAWAR 2023'!$F$48</f>
        <v>293155</v>
      </c>
      <c r="C8" s="32">
        <f>6310748500/1000</f>
        <v>6310748.5</v>
      </c>
      <c r="D8" s="2"/>
      <c r="F8" s="26"/>
      <c r="G8" s="26"/>
    </row>
    <row r="9" spans="1:7" ht="16" thickBot="1">
      <c r="A9" s="6" t="s">
        <v>4</v>
      </c>
      <c r="B9" s="32">
        <f>'[4]REKAP TW I-4 TAWAR 2023'!$G$48</f>
        <v>327453</v>
      </c>
      <c r="C9" s="32">
        <f>7074031500/1000</f>
        <v>7074031.5</v>
      </c>
      <c r="D9" s="2"/>
      <c r="F9" s="26"/>
      <c r="G9" s="26"/>
    </row>
    <row r="10" spans="1:7" ht="16" thickBot="1">
      <c r="A10" s="6" t="s">
        <v>5</v>
      </c>
      <c r="B10" s="32">
        <f>'[4]REKAP TW I-4 TAWAR 2023'!$H$48</f>
        <v>543566.80000000005</v>
      </c>
      <c r="C10" s="32">
        <f>12257124000/1000</f>
        <v>12257124</v>
      </c>
      <c r="D10" s="2"/>
      <c r="F10" s="26"/>
      <c r="G10" s="26"/>
    </row>
    <row r="11" spans="1:7" ht="16" thickBot="1">
      <c r="A11" s="6" t="s">
        <v>6</v>
      </c>
      <c r="B11" s="32">
        <f>'[4]REKAP TW I-4 TAWAR 2023'!$I$48</f>
        <v>484294.00000000006</v>
      </c>
      <c r="C11" s="32">
        <f>10483787000/1000</f>
        <v>10483787</v>
      </c>
      <c r="D11" s="2"/>
      <c r="F11" s="26"/>
      <c r="G11" s="26"/>
    </row>
    <row r="12" spans="1:7" ht="16" thickBot="1">
      <c r="A12" s="6" t="s">
        <v>7</v>
      </c>
      <c r="B12" s="32">
        <f>'[4]REKAP TW I-4 TAWAR 2023'!$J$48</f>
        <v>238330</v>
      </c>
      <c r="C12" s="32">
        <f>5194255000/1000</f>
        <v>5194255</v>
      </c>
      <c r="D12" s="2"/>
      <c r="F12" s="26"/>
      <c r="G12" s="26"/>
    </row>
    <row r="13" spans="1:7" ht="16" thickBot="1">
      <c r="A13" s="6" t="s">
        <v>8</v>
      </c>
      <c r="B13" s="32">
        <f>'[4]REKAP TW I-4 TAWAR 2023'!$K$48</f>
        <v>318110</v>
      </c>
      <c r="C13" s="32">
        <f>6855250000/1000</f>
        <v>6855250</v>
      </c>
      <c r="D13" s="2"/>
      <c r="F13" s="26"/>
      <c r="G13" s="26"/>
    </row>
    <row r="14" spans="1:7" ht="16" thickBot="1">
      <c r="A14" s="6" t="s">
        <v>9</v>
      </c>
      <c r="B14" s="32">
        <f>'[4]REKAP TW I-4 TAWAR 2023'!$L$48</f>
        <v>283956</v>
      </c>
      <c r="C14" s="32">
        <f>6109774500/1000</f>
        <v>6109774.5</v>
      </c>
      <c r="D14" s="2"/>
      <c r="F14" s="26"/>
      <c r="G14" s="26"/>
    </row>
    <row r="15" spans="1:7" ht="16" thickBot="1">
      <c r="A15" s="6" t="s">
        <v>10</v>
      </c>
      <c r="B15" s="32">
        <f>'[4]REKAP TW I-4 TAWAR 2023'!$M$48</f>
        <v>168357.4</v>
      </c>
      <c r="C15" s="32">
        <f>3624420600/1000</f>
        <v>3624420.6</v>
      </c>
      <c r="D15" s="2"/>
      <c r="F15" s="26"/>
      <c r="G15" s="26"/>
    </row>
    <row r="16" spans="1:7" ht="16" thickBot="1">
      <c r="A16" s="6" t="s">
        <v>11</v>
      </c>
      <c r="B16" s="32">
        <f>'[4]REKAP TW I-4 TAWAR 2023'!$N$48</f>
        <v>169067.5</v>
      </c>
      <c r="C16" s="32">
        <f>3636213750/1000</f>
        <v>3636213.75</v>
      </c>
      <c r="D16" s="2"/>
      <c r="F16" s="26"/>
      <c r="G16" s="26"/>
    </row>
    <row r="17" spans="1:7" ht="16" thickBot="1">
      <c r="A17" s="6" t="s">
        <v>12</v>
      </c>
      <c r="B17" s="32">
        <f>'[4]REKAP TW I-4 TAWAR 2023'!$O$48</f>
        <v>175870</v>
      </c>
      <c r="C17" s="32">
        <f>3782150000/1000</f>
        <v>3782150</v>
      </c>
      <c r="D17" s="2"/>
      <c r="F17" s="26"/>
      <c r="G17" s="26"/>
    </row>
    <row r="18" spans="1:7" ht="16" thickBot="1">
      <c r="A18" s="6" t="s">
        <v>13</v>
      </c>
      <c r="B18" s="32">
        <f>'[4]REKAP TW I-4 TAWAR 2023'!$P$48</f>
        <v>193566.5</v>
      </c>
      <c r="C18" s="32">
        <f>4182663750/1000</f>
        <v>4182663.75</v>
      </c>
      <c r="D18" s="2"/>
      <c r="F18" s="26"/>
      <c r="G18" s="26"/>
    </row>
    <row r="19" spans="1:7" ht="16" thickBot="1">
      <c r="A19" s="7">
        <v>2023</v>
      </c>
      <c r="B19" s="38">
        <f>SUM(B7:B18)</f>
        <v>3457623.1999999997</v>
      </c>
      <c r="C19" s="38">
        <f>SUM(C7:C18)</f>
        <v>75156659.099999994</v>
      </c>
      <c r="D19" s="2"/>
      <c r="F19" s="26"/>
      <c r="G19" s="26"/>
    </row>
    <row r="20" spans="1:7" ht="16" thickBot="1">
      <c r="A20" s="7">
        <f>A19-1</f>
        <v>2022</v>
      </c>
      <c r="B20" s="37">
        <v>4954780</v>
      </c>
      <c r="C20" s="37">
        <v>107924523</v>
      </c>
      <c r="D20" s="2"/>
    </row>
    <row r="21" spans="1:7" ht="16" thickBot="1">
      <c r="A21" s="7">
        <f t="shared" ref="A21:A23" si="0">A20-1</f>
        <v>2021</v>
      </c>
      <c r="B21" s="37">
        <v>3289898</v>
      </c>
      <c r="C21" s="37">
        <v>64508619</v>
      </c>
      <c r="D21" s="2"/>
    </row>
    <row r="22" spans="1:7" ht="16" thickBot="1">
      <c r="A22" s="7">
        <f t="shared" si="0"/>
        <v>2020</v>
      </c>
      <c r="B22" s="37">
        <v>2491297</v>
      </c>
      <c r="C22" s="37">
        <v>46391351</v>
      </c>
      <c r="D22" s="2"/>
    </row>
    <row r="23" spans="1:7" ht="16" thickBot="1">
      <c r="A23" s="7">
        <f t="shared" si="0"/>
        <v>2019</v>
      </c>
      <c r="B23" s="38">
        <v>2582936</v>
      </c>
      <c r="C23" s="38">
        <v>38518965</v>
      </c>
      <c r="D23" s="2"/>
    </row>
    <row r="24" spans="1:7">
      <c r="A24" s="2"/>
      <c r="B24" s="2"/>
      <c r="C24" s="2"/>
      <c r="D24" s="2"/>
    </row>
    <row r="25" spans="1:7">
      <c r="A25" s="2"/>
      <c r="B25" s="2"/>
      <c r="C25" s="2"/>
      <c r="D25" s="2"/>
    </row>
    <row r="26" spans="1:7">
      <c r="A26" s="132" t="s">
        <v>32</v>
      </c>
      <c r="B26" s="132"/>
      <c r="C26" s="132"/>
      <c r="D26" s="132"/>
    </row>
  </sheetData>
  <mergeCells count="4">
    <mergeCell ref="A1:C1"/>
    <mergeCell ref="A2:C2"/>
    <mergeCell ref="A3:C3"/>
    <mergeCell ref="A26:D26"/>
  </mergeCells>
  <pageMargins left="0.7" right="0.7" top="0.75" bottom="0.75" header="0.3" footer="0.3"/>
  <pageSetup paperSize="5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D26"/>
  <sheetViews>
    <sheetView workbookViewId="0">
      <selection activeCell="E1" sqref="E1"/>
    </sheetView>
  </sheetViews>
  <sheetFormatPr defaultColWidth="9" defaultRowHeight="14.5"/>
  <cols>
    <col min="1" max="1" width="27.7265625" customWidth="1"/>
    <col min="2" max="2" width="25.453125" customWidth="1"/>
    <col min="3" max="3" width="23" customWidth="1"/>
  </cols>
  <sheetData>
    <row r="1" spans="1:4" ht="15" customHeight="1">
      <c r="A1" s="139" t="s">
        <v>0</v>
      </c>
      <c r="B1" s="139"/>
      <c r="C1" s="139"/>
      <c r="D1" s="2"/>
    </row>
    <row r="2" spans="1:4" ht="15.5">
      <c r="A2" s="139" t="s">
        <v>61</v>
      </c>
      <c r="B2" s="139"/>
      <c r="C2" s="139"/>
      <c r="D2" s="2"/>
    </row>
    <row r="3" spans="1:4" ht="15.5">
      <c r="A3" s="139" t="s">
        <v>94</v>
      </c>
      <c r="B3" s="139"/>
      <c r="C3" s="139"/>
      <c r="D3" s="2"/>
    </row>
    <row r="4" spans="1:4" ht="15" thickBot="1">
      <c r="A4" s="2"/>
      <c r="B4" s="2"/>
      <c r="C4" s="2"/>
      <c r="D4" s="2"/>
    </row>
    <row r="5" spans="1:4" ht="31.5" thickBot="1">
      <c r="A5" s="9" t="s">
        <v>60</v>
      </c>
      <c r="B5" s="8" t="s">
        <v>30</v>
      </c>
      <c r="C5" s="8" t="s">
        <v>35</v>
      </c>
      <c r="D5" s="2"/>
    </row>
    <row r="6" spans="1:4" ht="16" thickBot="1">
      <c r="A6" s="16">
        <v>1</v>
      </c>
      <c r="B6" s="17">
        <v>2</v>
      </c>
      <c r="C6" s="17">
        <v>3</v>
      </c>
      <c r="D6" s="2"/>
    </row>
    <row r="7" spans="1:4" ht="16" thickBot="1">
      <c r="A7" s="6" t="s">
        <v>2</v>
      </c>
      <c r="B7" s="35">
        <f>'[1]REKAP PEL NON PUD 2023'!$B$45</f>
        <v>9120</v>
      </c>
      <c r="C7" s="35">
        <f>'[1]REKAP PEL NON PUD 2023'!$B$52/1000</f>
        <v>159850</v>
      </c>
      <c r="D7" s="2"/>
    </row>
    <row r="8" spans="1:4" ht="16" thickBot="1">
      <c r="A8" s="6" t="s">
        <v>3</v>
      </c>
      <c r="B8" s="35">
        <f>'[1]REKAP PEL NON PUD 2023'!$C$45</f>
        <v>7400</v>
      </c>
      <c r="C8" s="35">
        <f>'[1]REKAP PEL NON PUD 2023'!$C$52/1000</f>
        <v>124320</v>
      </c>
      <c r="D8" s="2"/>
    </row>
    <row r="9" spans="1:4" ht="16" thickBot="1">
      <c r="A9" s="6" t="s">
        <v>4</v>
      </c>
      <c r="B9" s="35">
        <f>'[1]REKAP PEL NON PUD 2023'!$D$45</f>
        <v>8400</v>
      </c>
      <c r="C9" s="35">
        <f>'[1]REKAP PEL NON PUD 2023'!$D$52/1000</f>
        <v>141300</v>
      </c>
      <c r="D9" s="2"/>
    </row>
    <row r="10" spans="1:4" ht="16" thickBot="1">
      <c r="A10" s="6" t="s">
        <v>5</v>
      </c>
      <c r="B10" s="35">
        <f>'[1]REKAP PEL NON PUD 2023'!$E$45</f>
        <v>16000</v>
      </c>
      <c r="C10" s="35">
        <f>'[1]REKAP PEL NON PUD 2023'!$E$52/1000</f>
        <v>272365</v>
      </c>
      <c r="D10" s="2"/>
    </row>
    <row r="11" spans="1:4" ht="16" thickBot="1">
      <c r="A11" s="6" t="s">
        <v>6</v>
      </c>
      <c r="B11" s="35">
        <f>'[1]REKAP PEL NON PUD 2023'!$F$45</f>
        <v>23560</v>
      </c>
      <c r="C11" s="35">
        <f>'[1]REKAP PEL NON PUD 2023'!$F$52/1000</f>
        <v>319335</v>
      </c>
      <c r="D11" s="2"/>
    </row>
    <row r="12" spans="1:4" ht="16" thickBot="1">
      <c r="A12" s="6" t="s">
        <v>7</v>
      </c>
      <c r="B12" s="35">
        <f>'[1]REKAP PEL NON PUD 2023'!$G$45</f>
        <v>35460</v>
      </c>
      <c r="C12" s="35">
        <f>'[1]REKAP PEL NON PUD 2023'!$G$52/1000</f>
        <v>445055</v>
      </c>
      <c r="D12" s="2"/>
    </row>
    <row r="13" spans="1:4" ht="16" thickBot="1">
      <c r="A13" s="6" t="s">
        <v>8</v>
      </c>
      <c r="B13" s="35">
        <f>'[1]REKAP PEL NON PUD 2023'!$H$45</f>
        <v>33410</v>
      </c>
      <c r="C13" s="35">
        <f>'[1]REKAP PEL NON PUD 2023'!$H$52/1000</f>
        <v>449340</v>
      </c>
      <c r="D13" s="2"/>
    </row>
    <row r="14" spans="1:4" ht="16" thickBot="1">
      <c r="A14" s="6" t="s">
        <v>9</v>
      </c>
      <c r="B14" s="35">
        <f>'[1]REKAP PEL NON PUD 2023'!$I$45</f>
        <v>36654</v>
      </c>
      <c r="C14" s="35">
        <f>'[1]REKAP PEL NON PUD 2023'!$I$52/1000</f>
        <v>464925</v>
      </c>
      <c r="D14" s="2"/>
    </row>
    <row r="15" spans="1:4" ht="16" thickBot="1">
      <c r="A15" s="6" t="s">
        <v>10</v>
      </c>
      <c r="B15" s="35">
        <f>'[1]REKAP PEL NON PUD 2023'!$J$45</f>
        <v>33518</v>
      </c>
      <c r="C15" s="35">
        <f>'[1]REKAP PEL NON PUD 2023'!$J$52/1000</f>
        <v>402890</v>
      </c>
      <c r="D15" s="2"/>
    </row>
    <row r="16" spans="1:4" ht="16" thickBot="1">
      <c r="A16" s="6" t="s">
        <v>11</v>
      </c>
      <c r="B16" s="35">
        <f>'[1]REKAP PEL NON PUD 2023'!$K$45</f>
        <v>33716</v>
      </c>
      <c r="C16" s="35">
        <f>'[1]REKAP PEL NON PUD 2023'!$K$52/1000</f>
        <v>389760</v>
      </c>
      <c r="D16" s="2"/>
    </row>
    <row r="17" spans="1:4" ht="16" thickBot="1">
      <c r="A17" s="6" t="s">
        <v>12</v>
      </c>
      <c r="B17" s="35">
        <f>'[1]REKAP PEL NON PUD 2023'!$L$45</f>
        <v>31840</v>
      </c>
      <c r="C17" s="35">
        <f>'[1]REKAP PEL NON PUD 2023'!$L$52/1000</f>
        <v>380495</v>
      </c>
      <c r="D17" s="2"/>
    </row>
    <row r="18" spans="1:4" ht="16" thickBot="1">
      <c r="A18" s="6" t="s">
        <v>13</v>
      </c>
      <c r="B18" s="35">
        <f>'[1]REKAP PEL NON PUD 2023'!$M$45</f>
        <v>27000</v>
      </c>
      <c r="C18" s="35">
        <f>'[1]REKAP PEL NON PUD 2023'!$M$52/1000</f>
        <v>401520</v>
      </c>
      <c r="D18" s="2"/>
    </row>
    <row r="19" spans="1:4" ht="16" thickBot="1">
      <c r="A19" s="7">
        <v>2023</v>
      </c>
      <c r="B19" s="37">
        <f>SUM(B7:B18)</f>
        <v>296078</v>
      </c>
      <c r="C19" s="37">
        <f>SUM(C7:C18)</f>
        <v>3951155</v>
      </c>
      <c r="D19" s="2"/>
    </row>
    <row r="20" spans="1:4" ht="16" thickBot="1">
      <c r="A20" s="7">
        <f>A19-1</f>
        <v>2022</v>
      </c>
      <c r="B20" s="38">
        <v>260010</v>
      </c>
      <c r="C20" s="38">
        <v>4316510</v>
      </c>
      <c r="D20" s="2"/>
    </row>
    <row r="21" spans="1:4" ht="16" thickBot="1">
      <c r="A21" s="7">
        <f t="shared" ref="A21:A23" si="0">A20-1</f>
        <v>2021</v>
      </c>
      <c r="B21" s="39">
        <v>203225</v>
      </c>
      <c r="C21" s="38">
        <v>3488723</v>
      </c>
      <c r="D21" s="2"/>
    </row>
    <row r="22" spans="1:4" ht="16" thickBot="1">
      <c r="A22" s="7">
        <f t="shared" si="0"/>
        <v>2020</v>
      </c>
      <c r="B22" s="39">
        <v>314529</v>
      </c>
      <c r="C22" s="38">
        <v>5624773</v>
      </c>
      <c r="D22" s="2"/>
    </row>
    <row r="23" spans="1:4" ht="16" thickBot="1">
      <c r="A23" s="7">
        <f t="shared" si="0"/>
        <v>2019</v>
      </c>
      <c r="B23" s="39">
        <v>232178</v>
      </c>
      <c r="C23" s="38">
        <v>3922956</v>
      </c>
      <c r="D23" s="2"/>
    </row>
    <row r="24" spans="1:4">
      <c r="A24" s="2"/>
      <c r="B24" s="2"/>
      <c r="C24" s="2"/>
      <c r="D24" s="2"/>
    </row>
    <row r="25" spans="1:4">
      <c r="A25" s="2"/>
      <c r="B25" s="2"/>
      <c r="C25" s="2"/>
      <c r="D25" s="2"/>
    </row>
    <row r="26" spans="1:4">
      <c r="A26" s="132" t="s">
        <v>32</v>
      </c>
      <c r="B26" s="132"/>
      <c r="C26" s="132"/>
      <c r="D26" s="132"/>
    </row>
  </sheetData>
  <mergeCells count="4">
    <mergeCell ref="A2:C2"/>
    <mergeCell ref="A3:C3"/>
    <mergeCell ref="A26:D26"/>
    <mergeCell ref="A1:C1"/>
  </mergeCells>
  <pageMargins left="0.7" right="0.7" top="0.75" bottom="0.75" header="0.3" footer="0.3"/>
  <pageSetup paperSize="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E32"/>
  <sheetViews>
    <sheetView zoomScalePageLayoutView="70" workbookViewId="0">
      <selection activeCell="B7" sqref="B7"/>
    </sheetView>
  </sheetViews>
  <sheetFormatPr defaultColWidth="9" defaultRowHeight="14.5"/>
  <cols>
    <col min="1" max="1" width="27.7265625" customWidth="1"/>
    <col min="2" max="2" width="22.81640625" customWidth="1"/>
    <col min="3" max="3" width="23" customWidth="1"/>
  </cols>
  <sheetData>
    <row r="1" spans="1:4" ht="15.5">
      <c r="A1" s="2"/>
      <c r="B1" s="22" t="s">
        <v>0</v>
      </c>
      <c r="C1" s="2"/>
      <c r="D1" s="2"/>
    </row>
    <row r="2" spans="1:4" ht="15.5">
      <c r="A2" s="140" t="s">
        <v>92</v>
      </c>
      <c r="B2" s="140"/>
      <c r="C2" s="140"/>
      <c r="D2" s="2"/>
    </row>
    <row r="3" spans="1:4" ht="15.5">
      <c r="A3" s="140" t="s">
        <v>95</v>
      </c>
      <c r="B3" s="140"/>
      <c r="C3" s="140"/>
      <c r="D3" s="2"/>
    </row>
    <row r="4" spans="1:4" ht="15" thickBot="1">
      <c r="A4" s="2"/>
      <c r="B4" s="2"/>
      <c r="C4" s="2"/>
      <c r="D4" s="2"/>
    </row>
    <row r="5" spans="1:4" ht="44.25" customHeight="1">
      <c r="A5" s="141" t="s">
        <v>37</v>
      </c>
      <c r="B5" s="143" t="s">
        <v>109</v>
      </c>
      <c r="C5" s="143" t="s">
        <v>65</v>
      </c>
      <c r="D5" s="2"/>
    </row>
    <row r="6" spans="1:4" ht="15" thickBot="1">
      <c r="A6" s="142"/>
      <c r="B6" s="144"/>
      <c r="C6" s="144"/>
      <c r="D6" s="2"/>
    </row>
    <row r="7" spans="1:4" ht="15" thickBot="1">
      <c r="A7" s="13">
        <v>1</v>
      </c>
      <c r="B7" s="14">
        <v>2</v>
      </c>
      <c r="C7" s="14">
        <v>3</v>
      </c>
      <c r="D7" s="2"/>
    </row>
    <row r="8" spans="1:4" ht="16" thickBot="1">
      <c r="A8" s="15" t="s">
        <v>39</v>
      </c>
      <c r="B8" s="35">
        <v>0</v>
      </c>
      <c r="C8" s="35">
        <v>0</v>
      </c>
      <c r="D8" s="2"/>
    </row>
    <row r="9" spans="1:4" ht="16" thickBot="1">
      <c r="A9" s="15" t="s">
        <v>40</v>
      </c>
      <c r="B9" s="35">
        <v>0</v>
      </c>
      <c r="C9" s="35">
        <v>0</v>
      </c>
      <c r="D9" s="2"/>
    </row>
    <row r="10" spans="1:4" ht="16" thickBot="1">
      <c r="A10" s="15" t="s">
        <v>41</v>
      </c>
      <c r="B10" s="35">
        <v>0</v>
      </c>
      <c r="C10" s="35">
        <v>0</v>
      </c>
      <c r="D10" s="2"/>
    </row>
    <row r="11" spans="1:4" ht="16" thickBot="1">
      <c r="A11" s="15" t="s">
        <v>42</v>
      </c>
      <c r="B11" s="35">
        <f>'[1]REKAP PEL NON PUD 2023'!$N$44</f>
        <v>123044</v>
      </c>
      <c r="C11" s="35">
        <f>'[1]REKAP PEL NON PUD 2023'!$N$51/1000</f>
        <v>2046295</v>
      </c>
      <c r="D11" s="2"/>
    </row>
    <row r="12" spans="1:4" ht="16" thickBot="1">
      <c r="A12" s="15" t="s">
        <v>43</v>
      </c>
      <c r="B12" s="35">
        <v>0</v>
      </c>
      <c r="C12" s="35">
        <v>0</v>
      </c>
      <c r="D12" s="2"/>
    </row>
    <row r="13" spans="1:4" ht="16" thickBot="1">
      <c r="A13" s="15" t="s">
        <v>44</v>
      </c>
      <c r="B13" s="35">
        <v>0</v>
      </c>
      <c r="C13" s="35">
        <v>0</v>
      </c>
      <c r="D13" s="2"/>
    </row>
    <row r="14" spans="1:4" ht="16" thickBot="1">
      <c r="A14" s="15" t="s">
        <v>45</v>
      </c>
      <c r="B14" s="35">
        <v>0</v>
      </c>
      <c r="C14" s="35">
        <v>0</v>
      </c>
      <c r="D14" s="2"/>
    </row>
    <row r="15" spans="1:4" ht="16" thickBot="1">
      <c r="A15" s="15" t="s">
        <v>46</v>
      </c>
      <c r="B15" s="35">
        <v>0</v>
      </c>
      <c r="C15" s="35">
        <v>0</v>
      </c>
      <c r="D15" s="2"/>
    </row>
    <row r="16" spans="1:4" ht="16" thickBot="1">
      <c r="A16" s="15" t="s">
        <v>47</v>
      </c>
      <c r="B16" s="35">
        <f>'[1]REKAP PEL NON PUD 2023'!$N$43</f>
        <v>173034</v>
      </c>
      <c r="C16" s="35">
        <f>'[1]REKAP PEL NON PUD 2023'!$N$50/1000</f>
        <v>1904860</v>
      </c>
      <c r="D16" s="2"/>
    </row>
    <row r="17" spans="1:5" ht="16" thickBot="1">
      <c r="A17" s="15" t="s">
        <v>48</v>
      </c>
      <c r="B17" s="35">
        <v>0</v>
      </c>
      <c r="C17" s="35">
        <v>0</v>
      </c>
      <c r="D17" s="2"/>
    </row>
    <row r="18" spans="1:5" ht="16" thickBot="1">
      <c r="A18" s="15" t="s">
        <v>49</v>
      </c>
      <c r="B18" s="35">
        <v>0</v>
      </c>
      <c r="C18" s="35">
        <v>0</v>
      </c>
      <c r="D18" s="2"/>
    </row>
    <row r="19" spans="1:5" ht="16" thickBot="1">
      <c r="A19" s="15" t="s">
        <v>50</v>
      </c>
      <c r="B19" s="35">
        <v>0</v>
      </c>
      <c r="C19" s="35">
        <v>0</v>
      </c>
      <c r="D19" s="2"/>
    </row>
    <row r="20" spans="1:5" ht="16" thickBot="1">
      <c r="A20" s="15" t="s">
        <v>51</v>
      </c>
      <c r="B20" s="35">
        <v>0</v>
      </c>
      <c r="C20" s="35">
        <v>0</v>
      </c>
      <c r="D20" s="2"/>
    </row>
    <row r="21" spans="1:5" ht="16" thickBot="1">
      <c r="A21" s="15" t="s">
        <v>52</v>
      </c>
      <c r="B21" s="35">
        <v>0</v>
      </c>
      <c r="C21" s="35">
        <v>0</v>
      </c>
      <c r="D21" s="2"/>
    </row>
    <row r="22" spans="1:5" ht="16" thickBot="1">
      <c r="A22" s="15" t="s">
        <v>53</v>
      </c>
      <c r="B22" s="35">
        <v>0</v>
      </c>
      <c r="C22" s="35">
        <v>0</v>
      </c>
      <c r="D22" s="2"/>
    </row>
    <row r="23" spans="1:5" ht="16" thickBot="1">
      <c r="A23" s="15" t="s">
        <v>54</v>
      </c>
      <c r="B23" s="35">
        <v>0</v>
      </c>
      <c r="C23" s="35">
        <v>0</v>
      </c>
      <c r="D23" s="2"/>
    </row>
    <row r="24" spans="1:5" ht="16" thickBot="1">
      <c r="A24" s="15" t="s">
        <v>55</v>
      </c>
      <c r="B24" s="35">
        <v>0</v>
      </c>
      <c r="C24" s="35">
        <v>0</v>
      </c>
      <c r="D24" s="2"/>
    </row>
    <row r="25" spans="1:5" ht="16" thickBot="1">
      <c r="A25" s="7">
        <v>2023</v>
      </c>
      <c r="B25" s="37">
        <f>SUM(B8:B24)</f>
        <v>296078</v>
      </c>
      <c r="C25" s="37">
        <f>SUM(C8:C24)</f>
        <v>3951155</v>
      </c>
      <c r="D25" s="2"/>
      <c r="E25" s="116"/>
    </row>
    <row r="26" spans="1:5" ht="16" thickBot="1">
      <c r="A26" s="7">
        <f>A25-1</f>
        <v>2022</v>
      </c>
      <c r="B26" s="38">
        <v>260010</v>
      </c>
      <c r="C26" s="38">
        <v>4316510</v>
      </c>
      <c r="D26" s="2"/>
    </row>
    <row r="27" spans="1:5" ht="16" thickBot="1">
      <c r="A27" s="7">
        <f t="shared" ref="A27:A29" si="0">A26-1</f>
        <v>2021</v>
      </c>
      <c r="B27" s="39">
        <v>203225</v>
      </c>
      <c r="C27" s="38">
        <v>3488723</v>
      </c>
      <c r="D27" s="2"/>
    </row>
    <row r="28" spans="1:5" ht="16" thickBot="1">
      <c r="A28" s="7">
        <f t="shared" si="0"/>
        <v>2020</v>
      </c>
      <c r="B28" s="39">
        <v>314529</v>
      </c>
      <c r="C28" s="38">
        <v>5624773</v>
      </c>
      <c r="D28" s="2"/>
    </row>
    <row r="29" spans="1:5" ht="16" thickBot="1">
      <c r="A29" s="7">
        <f t="shared" si="0"/>
        <v>2019</v>
      </c>
      <c r="B29" s="39">
        <v>232178</v>
      </c>
      <c r="C29" s="38">
        <v>3922956</v>
      </c>
      <c r="D29" s="2"/>
    </row>
    <row r="30" spans="1:5">
      <c r="A30" s="2"/>
      <c r="B30" s="2"/>
      <c r="C30" s="2"/>
      <c r="D30" s="2"/>
    </row>
    <row r="31" spans="1:5">
      <c r="A31" s="2"/>
      <c r="B31" s="2"/>
      <c r="C31" s="2"/>
      <c r="D31" s="2"/>
    </row>
    <row r="32" spans="1:5">
      <c r="A32" s="132" t="s">
        <v>32</v>
      </c>
      <c r="B32" s="132"/>
      <c r="C32" s="132"/>
      <c r="D32" s="132"/>
    </row>
  </sheetData>
  <mergeCells count="6">
    <mergeCell ref="A32:D32"/>
    <mergeCell ref="A2:C2"/>
    <mergeCell ref="A3:C3"/>
    <mergeCell ref="A5:A6"/>
    <mergeCell ref="B5:B6"/>
    <mergeCell ref="C5:C6"/>
  </mergeCells>
  <pageMargins left="0.7" right="0.7" top="0.75" bottom="0.75" header="0.3" footer="0.3"/>
  <pageSetup paperSize="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Lembar kerja</vt:lpstr>
      </vt:variant>
      <vt:variant>
        <vt:i4>16</vt:i4>
      </vt:variant>
      <vt:variant>
        <vt:lpstr>Rentang Bernama</vt:lpstr>
      </vt:variant>
      <vt:variant>
        <vt:i4>1</vt:i4>
      </vt:variant>
    </vt:vector>
  </HeadingPairs>
  <TitlesOfParts>
    <vt:vector size="17" baseType="lpstr">
      <vt:lpstr>hsl tngkapn laut mnrt TPI</vt:lpstr>
      <vt:lpstr>hsl tngkapn laut mnrt Kecamatan</vt:lpstr>
      <vt:lpstr>  hasil tangkapan laut mnrt bln</vt:lpstr>
      <vt:lpstr>luas &amp; prod tambak mnrt kec</vt:lpstr>
      <vt:lpstr>pro&amp;nilai prknnn tmbak mnrt bln</vt:lpstr>
      <vt:lpstr>luas &amp; prod kolam mnrt kec</vt:lpstr>
      <vt:lpstr>prod&amp;nilai prknn kolam mnrt bln</vt:lpstr>
      <vt:lpstr>prod&amp; nilai prknn waduk per bln</vt:lpstr>
      <vt:lpstr>prod&amp;nilai prknn waduk per kec</vt:lpstr>
      <vt:lpstr>prod&amp;nilai prknn sungai per Kec</vt:lpstr>
      <vt:lpstr>prod&amp; nilai prknn sungai perbln</vt:lpstr>
      <vt:lpstr>prod &amp; nilai rmpt laut mnrt kec</vt:lpstr>
      <vt:lpstr>prod &amp; nilai rumpt laut per bln</vt:lpstr>
      <vt:lpstr>prod &amp; nilai grm rakyat per kec</vt:lpstr>
      <vt:lpstr>prod&amp;nilai garm rakyat mnrt bln</vt:lpstr>
      <vt:lpstr>alat tangkap mnrt jenis di PPI</vt:lpstr>
      <vt:lpstr>'prod&amp;nilai garm rakyat mnrt bln'!_GoBack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DISKOMINFOTIK IP 5</cp:lastModifiedBy>
  <cp:lastPrinted>2024-02-01T02:28:00Z</cp:lastPrinted>
  <dcterms:created xsi:type="dcterms:W3CDTF">2018-04-09T02:12:36Z</dcterms:created>
  <dcterms:modified xsi:type="dcterms:W3CDTF">2024-03-05T04:37:17Z</dcterms:modified>
</cp:coreProperties>
</file>