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KHOIRUL UMI NUR FAUZIYAH\BDD 2025\"/>
    </mc:Choice>
  </mc:AlternateContent>
  <xr:revisionPtr revIDLastSave="0" documentId="13_ncr:1_{0456DBF2-3949-412B-AC21-35A1B770913C}" xr6:coauthVersionLast="47" xr6:coauthVersionMax="47" xr10:uidLastSave="{00000000-0000-0000-0000-000000000000}"/>
  <bookViews>
    <workbookView xWindow="-120" yWindow="-120" windowWidth="20730" windowHeight="11160" tabRatio="614" firstSheet="51" activeTab="59" xr2:uid="{00000000-000D-0000-FFFF-FFFF00000000}"/>
  </bookViews>
  <sheets>
    <sheet name="R.Prod.14 Komoditas" sheetId="1" r:id="rId1"/>
    <sheet name="R.Prod.Padi" sheetId="2" r:id="rId2"/>
    <sheet name="R.Prod.Jagung" sheetId="3" r:id="rId3"/>
    <sheet name="BYK R.Prod." sheetId="4" r:id="rId4"/>
    <sheet name="R.Prod.Kacang Tanah" sheetId="5" r:id="rId5"/>
    <sheet name="R.Prod.kacang Hijau" sheetId="6" r:id="rId6"/>
    <sheet name="R.Prod.Ketela Pohon" sheetId="7" r:id="rId7"/>
    <sheet name="R.Prod.Ubi Jalar" sheetId="8" r:id="rId8"/>
    <sheet name="R.Prod.Gula" sheetId="9" r:id="rId9"/>
    <sheet name="R.Prod.Cabai Merah" sheetId="10" r:id="rId10"/>
    <sheet name="R.Prod. Bawang Merah" sheetId="11" r:id="rId11"/>
    <sheet name="kebun kelapa" sheetId="12" r:id="rId12"/>
    <sheet name="kebun kelapa deres" sheetId="13" r:id="rId13"/>
    <sheet name="kebun robusta" sheetId="14" r:id="rId14"/>
    <sheet name="arabika kebun" sheetId="15" r:id="rId15"/>
    <sheet name="cengkeh kebun" sheetId="16" r:id="rId16"/>
    <sheet name="cokelat kebun" sheetId="17" r:id="rId17"/>
    <sheet name="lada kebun" sheetId="18" r:id="rId18"/>
    <sheet name="aren kebun" sheetId="19" r:id="rId19"/>
    <sheet name="karet kebun" sheetId="20" r:id="rId20"/>
    <sheet name="asam jawa kebun" sheetId="21" r:id="rId21"/>
    <sheet name="tebu kebun" sheetId="22" r:id="rId22"/>
    <sheet name="nilam kebun" sheetId="23" r:id="rId23"/>
    <sheet name="rekap hasil produksi" sheetId="24" r:id="rId24"/>
    <sheet name="produksi padi sawah" sheetId="25" r:id="rId25"/>
    <sheet name="Padi Ladang Produksi" sheetId="26" r:id="rId26"/>
    <sheet name="Produksi Jagung" sheetId="27" r:id="rId27"/>
    <sheet name="ketela pohon produksi" sheetId="28" r:id="rId28"/>
    <sheet name="ubi jalar produksi" sheetId="29" r:id="rId29"/>
    <sheet name="Kacang Hijau Produksi" sheetId="30" r:id="rId30"/>
    <sheet name="Kedelai Produksi" sheetId="31" r:id="rId31"/>
    <sheet name="Kacang Tanah Produksi" sheetId="32" r:id="rId32"/>
    <sheet name="bawang merah produksi" sheetId="33" r:id="rId33"/>
    <sheet name="Bawang Putih Produksi" sheetId="34" r:id="rId34"/>
    <sheet name="Bawang Daun Produksi" sheetId="35" r:id="rId35"/>
    <sheet name="Kentang Produksi" sheetId="36" r:id="rId36"/>
    <sheet name="Kubis Produksi" sheetId="37" r:id="rId37"/>
    <sheet name="PETSAI PRODUKSI" sheetId="38" r:id="rId38"/>
    <sheet name="Wortel Produksi" sheetId="39" r:id="rId39"/>
    <sheet name="Kac Panjang Prod" sheetId="40" r:id="rId40"/>
    <sheet name="cabai besar" sheetId="41" r:id="rId41"/>
    <sheet name="cabe Rawit" sheetId="42" r:id="rId42"/>
    <sheet name="tomat" sheetId="43" r:id="rId43"/>
    <sheet name="terong" sheetId="44" r:id="rId44"/>
    <sheet name="buncis" sheetId="45" r:id="rId45"/>
    <sheet name="ketimun" sheetId="46" r:id="rId46"/>
    <sheet name="labu siam" sheetId="47" r:id="rId47"/>
    <sheet name="kangkung" sheetId="48" r:id="rId48"/>
    <sheet name="petai" sheetId="49" r:id="rId49"/>
    <sheet name="melinjo" sheetId="50" r:id="rId50"/>
    <sheet name="alpukat" sheetId="51" r:id="rId51"/>
    <sheet name="mangga" sheetId="52" r:id="rId52"/>
    <sheet name="rambutan" sheetId="53" r:id="rId53"/>
    <sheet name="durian" sheetId="54" r:id="rId54"/>
    <sheet name="pisang" sheetId="55" r:id="rId55"/>
    <sheet name="manggis" sheetId="56" r:id="rId56"/>
    <sheet name="nangka" sheetId="57" r:id="rId57"/>
    <sheet name="sawo" sheetId="58" r:id="rId58"/>
    <sheet name="sirsak" sheetId="59" r:id="rId59"/>
    <sheet name="sukun" sheetId="60" r:id="rId60"/>
  </sheets>
  <externalReferences>
    <externalReference r:id="rId61"/>
    <externalReference r:id="rId62"/>
  </externalReferences>
  <definedNames>
    <definedName name="indeks_BST_1">'[1]BST 1'!$A$4:$T$301</definedName>
    <definedName name="indeks_BST_2">'[1]BST 2'!$A$4:$T$301</definedName>
    <definedName name="indeks_BST_4">'[1]BST 4'!$A$4:$T$301</definedName>
    <definedName name="_xlnm.Print_Area" localSheetId="51">mangga!$A$1:$F$34</definedName>
    <definedName name="_xlnm.Print_Area" localSheetId="59">sukun!$A$1:$F$35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4" roundtripDataChecksum="GvH1l+pqkComFFdcz4Z/mSszMQdyOw81tN3LCrFR42g="/>
    </ext>
  </extLst>
</workbook>
</file>

<file path=xl/calcChain.xml><?xml version="1.0" encoding="utf-8"?>
<calcChain xmlns="http://schemas.openxmlformats.org/spreadsheetml/2006/main">
  <c r="F20" i="24" l="1"/>
  <c r="E20" i="24"/>
  <c r="D20" i="24"/>
  <c r="C20" i="24"/>
  <c r="B20" i="24"/>
  <c r="F19" i="24"/>
  <c r="E19" i="24"/>
  <c r="D19" i="24"/>
  <c r="C19" i="24"/>
  <c r="F26" i="60"/>
  <c r="E26" i="60"/>
  <c r="D26" i="60"/>
  <c r="C26" i="60"/>
  <c r="B26" i="60"/>
  <c r="E10" i="60"/>
  <c r="E11" i="60"/>
  <c r="E12" i="60"/>
  <c r="E13" i="60"/>
  <c r="E14" i="60"/>
  <c r="E16" i="60"/>
  <c r="E17" i="60"/>
  <c r="E18" i="60"/>
  <c r="E19" i="60"/>
  <c r="E20" i="60"/>
  <c r="E21" i="60"/>
  <c r="B21" i="60"/>
  <c r="B20" i="60"/>
  <c r="B19" i="60"/>
  <c r="B18" i="60"/>
  <c r="B17" i="60"/>
  <c r="B16" i="60"/>
  <c r="B14" i="60"/>
  <c r="B13" i="60"/>
  <c r="B12" i="60"/>
  <c r="B11" i="60"/>
  <c r="B10" i="60"/>
  <c r="B9" i="60"/>
  <c r="B17" i="59"/>
  <c r="B14" i="59"/>
  <c r="B13" i="59"/>
  <c r="B12" i="59"/>
  <c r="B11" i="59"/>
  <c r="B10" i="59"/>
  <c r="B9" i="59"/>
  <c r="B26" i="59" s="1"/>
  <c r="E10" i="58"/>
  <c r="E11" i="58"/>
  <c r="E12" i="58"/>
  <c r="E13" i="58"/>
  <c r="E26" i="58" s="1"/>
  <c r="E14" i="58"/>
  <c r="E15" i="58"/>
  <c r="E16" i="58"/>
  <c r="E17" i="58"/>
  <c r="E18" i="58"/>
  <c r="E20" i="58"/>
  <c r="E21" i="58"/>
  <c r="E22" i="58"/>
  <c r="E23" i="58"/>
  <c r="E24" i="58"/>
  <c r="F26" i="58"/>
  <c r="D26" i="58"/>
  <c r="C26" i="58"/>
  <c r="B26" i="58"/>
  <c r="B25" i="58"/>
  <c r="B24" i="58"/>
  <c r="B23" i="58"/>
  <c r="B22" i="58"/>
  <c r="B21" i="58"/>
  <c r="B20" i="58"/>
  <c r="B19" i="58"/>
  <c r="B18" i="58"/>
  <c r="B17" i="58"/>
  <c r="B16" i="58"/>
  <c r="B15" i="58"/>
  <c r="B14" i="58"/>
  <c r="B13" i="58"/>
  <c r="B12" i="58"/>
  <c r="B11" i="58"/>
  <c r="B10" i="58"/>
  <c r="B9" i="58"/>
  <c r="E10" i="57" l="1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F26" i="57"/>
  <c r="E26" i="57"/>
  <c r="D26" i="57"/>
  <c r="C26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B9" i="57"/>
  <c r="F26" i="56"/>
  <c r="E26" i="56"/>
  <c r="D26" i="56"/>
  <c r="C26" i="56"/>
  <c r="B26" i="56"/>
  <c r="E11" i="56"/>
  <c r="E12" i="56"/>
  <c r="E10" i="56"/>
  <c r="E14" i="56"/>
  <c r="B14" i="56"/>
  <c r="B13" i="56"/>
  <c r="B12" i="56"/>
  <c r="B11" i="56"/>
  <c r="B10" i="56"/>
  <c r="B9" i="56"/>
  <c r="E10" i="55"/>
  <c r="E11" i="55"/>
  <c r="E12" i="55"/>
  <c r="E13" i="55"/>
  <c r="E14" i="55"/>
  <c r="E15" i="55"/>
  <c r="E16" i="55"/>
  <c r="E17" i="55"/>
  <c r="E18" i="55"/>
  <c r="E19" i="55"/>
  <c r="E20" i="55"/>
  <c r="E21" i="55"/>
  <c r="E22" i="55"/>
  <c r="E23" i="55"/>
  <c r="E24" i="55"/>
  <c r="E25" i="55"/>
  <c r="B26" i="55"/>
  <c r="B25" i="55"/>
  <c r="B24" i="55"/>
  <c r="B23" i="55"/>
  <c r="B22" i="55"/>
  <c r="B21" i="55"/>
  <c r="B20" i="55"/>
  <c r="B19" i="55"/>
  <c r="B18" i="55"/>
  <c r="B17" i="55"/>
  <c r="B16" i="55"/>
  <c r="B15" i="55"/>
  <c r="B14" i="55"/>
  <c r="B13" i="55"/>
  <c r="B12" i="55"/>
  <c r="B11" i="55"/>
  <c r="B10" i="55"/>
  <c r="B9" i="55"/>
  <c r="F26" i="55"/>
  <c r="E26" i="55"/>
  <c r="D26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9" i="55"/>
  <c r="E10" i="54"/>
  <c r="E11" i="54"/>
  <c r="E12" i="54"/>
  <c r="E13" i="54"/>
  <c r="E14" i="54"/>
  <c r="E16" i="54"/>
  <c r="E17" i="54"/>
  <c r="B23" i="54"/>
  <c r="B17" i="54"/>
  <c r="B16" i="54"/>
  <c r="B14" i="54"/>
  <c r="B13" i="54"/>
  <c r="B12" i="54"/>
  <c r="B11" i="54"/>
  <c r="B10" i="54"/>
  <c r="B9" i="54"/>
  <c r="C26" i="53"/>
  <c r="B26" i="53"/>
  <c r="B24" i="53"/>
  <c r="B23" i="53"/>
  <c r="B17" i="53"/>
  <c r="B16" i="53"/>
  <c r="B14" i="53"/>
  <c r="B13" i="53"/>
  <c r="B12" i="53"/>
  <c r="B11" i="53"/>
  <c r="B10" i="53"/>
  <c r="B9" i="53"/>
  <c r="E11" i="53"/>
  <c r="E12" i="53"/>
  <c r="E13" i="53"/>
  <c r="E14" i="53"/>
  <c r="E16" i="53"/>
  <c r="E17" i="53"/>
  <c r="E10" i="52"/>
  <c r="E11" i="52"/>
  <c r="E12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F26" i="52"/>
  <c r="D26" i="52"/>
  <c r="C26" i="52"/>
  <c r="B26" i="52"/>
  <c r="B25" i="52"/>
  <c r="B24" i="52"/>
  <c r="B23" i="52"/>
  <c r="B22" i="52"/>
  <c r="B21" i="52"/>
  <c r="B20" i="52"/>
  <c r="B19" i="52"/>
  <c r="B18" i="52"/>
  <c r="B17" i="52"/>
  <c r="B16" i="52"/>
  <c r="B15" i="52"/>
  <c r="B14" i="52"/>
  <c r="B13" i="52"/>
  <c r="B12" i="52"/>
  <c r="B11" i="52"/>
  <c r="B10" i="52"/>
  <c r="B9" i="52"/>
  <c r="B26" i="51"/>
  <c r="B18" i="51"/>
  <c r="B17" i="51"/>
  <c r="B15" i="51"/>
  <c r="B14" i="51"/>
  <c r="B13" i="51"/>
  <c r="B12" i="51"/>
  <c r="B11" i="51"/>
  <c r="B10" i="51"/>
  <c r="B9" i="51"/>
  <c r="E26" i="52" l="1"/>
  <c r="E10" i="51" l="1"/>
  <c r="E11" i="51"/>
  <c r="E12" i="51"/>
  <c r="E13" i="51"/>
  <c r="E14" i="51"/>
  <c r="E17" i="51"/>
  <c r="E18" i="51"/>
  <c r="B26" i="50"/>
  <c r="C10" i="50"/>
  <c r="E10" i="50"/>
  <c r="E11" i="50"/>
  <c r="E12" i="50"/>
  <c r="E13" i="50"/>
  <c r="E14" i="50"/>
  <c r="E15" i="50"/>
  <c r="E16" i="50"/>
  <c r="E17" i="50"/>
  <c r="E18" i="50"/>
  <c r="E19" i="50"/>
  <c r="E20" i="50"/>
  <c r="E23" i="50"/>
  <c r="E24" i="50"/>
  <c r="E9" i="50"/>
  <c r="B24" i="50"/>
  <c r="B23" i="50"/>
  <c r="B20" i="50"/>
  <c r="B19" i="50"/>
  <c r="B18" i="50"/>
  <c r="B17" i="50"/>
  <c r="B16" i="50"/>
  <c r="B15" i="50"/>
  <c r="B14" i="50"/>
  <c r="B13" i="50"/>
  <c r="B12" i="50"/>
  <c r="B11" i="50"/>
  <c r="B10" i="50"/>
  <c r="B9" i="50"/>
  <c r="B23" i="49"/>
  <c r="B22" i="49"/>
  <c r="B21" i="49"/>
  <c r="B20" i="49"/>
  <c r="B19" i="49"/>
  <c r="B18" i="49"/>
  <c r="B17" i="49"/>
  <c r="B16" i="49"/>
  <c r="B15" i="49"/>
  <c r="B14" i="49"/>
  <c r="B13" i="49"/>
  <c r="B12" i="49"/>
  <c r="B11" i="49"/>
  <c r="B10" i="49"/>
  <c r="B9" i="49"/>
  <c r="C9" i="49"/>
  <c r="C21" i="60"/>
  <c r="C20" i="60"/>
  <c r="C19" i="60"/>
  <c r="C18" i="60"/>
  <c r="C17" i="60"/>
  <c r="C16" i="60"/>
  <c r="C14" i="60"/>
  <c r="C13" i="60"/>
  <c r="C12" i="60"/>
  <c r="C11" i="60"/>
  <c r="C10" i="60"/>
  <c r="C9" i="60"/>
  <c r="C17" i="59"/>
  <c r="C14" i="59"/>
  <c r="C13" i="59"/>
  <c r="C12" i="59"/>
  <c r="C11" i="59"/>
  <c r="C10" i="59"/>
  <c r="C9" i="59"/>
  <c r="C26" i="59" s="1"/>
  <c r="C24" i="58"/>
  <c r="C23" i="58"/>
  <c r="C22" i="58"/>
  <c r="C21" i="58"/>
  <c r="C20" i="58"/>
  <c r="C18" i="58"/>
  <c r="C17" i="58"/>
  <c r="C16" i="58"/>
  <c r="C15" i="58"/>
  <c r="C14" i="58"/>
  <c r="C13" i="58"/>
  <c r="C12" i="58"/>
  <c r="C11" i="58"/>
  <c r="C10" i="58"/>
  <c r="C9" i="58"/>
  <c r="C25" i="57"/>
  <c r="C24" i="57"/>
  <c r="C23" i="57"/>
  <c r="C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C9" i="57"/>
  <c r="C14" i="56"/>
  <c r="C12" i="56"/>
  <c r="C11" i="56"/>
  <c r="C10" i="56"/>
  <c r="C9" i="56"/>
  <c r="C17" i="54"/>
  <c r="C16" i="54"/>
  <c r="C14" i="54"/>
  <c r="C13" i="54"/>
  <c r="C12" i="54"/>
  <c r="C11" i="54"/>
  <c r="C10" i="54"/>
  <c r="C9" i="54"/>
  <c r="C17" i="53"/>
  <c r="C16" i="53"/>
  <c r="C14" i="53"/>
  <c r="C13" i="53"/>
  <c r="C12" i="53"/>
  <c r="C11" i="53"/>
  <c r="C9" i="53"/>
  <c r="C25" i="52"/>
  <c r="C24" i="52"/>
  <c r="C23" i="52"/>
  <c r="C22" i="52"/>
  <c r="C21" i="52"/>
  <c r="C20" i="52"/>
  <c r="C19" i="52"/>
  <c r="C18" i="52"/>
  <c r="C17" i="52"/>
  <c r="C16" i="52"/>
  <c r="C15" i="52"/>
  <c r="C14" i="52"/>
  <c r="C12" i="52"/>
  <c r="C11" i="52"/>
  <c r="C10" i="52"/>
  <c r="C9" i="52"/>
  <c r="C18" i="51"/>
  <c r="C17" i="51"/>
  <c r="C14" i="51"/>
  <c r="C13" i="51"/>
  <c r="C12" i="51"/>
  <c r="C11" i="51"/>
  <c r="C10" i="51"/>
  <c r="C9" i="51"/>
  <c r="C24" i="50"/>
  <c r="C23" i="50"/>
  <c r="C20" i="50"/>
  <c r="C19" i="50"/>
  <c r="C18" i="50"/>
  <c r="C17" i="50"/>
  <c r="C16" i="50"/>
  <c r="C15" i="50"/>
  <c r="C14" i="50"/>
  <c r="C13" i="50"/>
  <c r="C12" i="50"/>
  <c r="C11" i="50"/>
  <c r="C9" i="50"/>
  <c r="D21" i="60" l="1"/>
  <c r="D20" i="60"/>
  <c r="D18" i="60"/>
  <c r="D14" i="60"/>
  <c r="D12" i="60"/>
  <c r="D19" i="59"/>
  <c r="D14" i="59"/>
  <c r="E14" i="59" s="1"/>
  <c r="D12" i="59"/>
  <c r="E12" i="59" s="1"/>
  <c r="D11" i="59"/>
  <c r="E11" i="59" s="1"/>
  <c r="D22" i="58"/>
  <c r="D21" i="58"/>
  <c r="D18" i="58"/>
  <c r="D15" i="58"/>
  <c r="D14" i="58"/>
  <c r="D13" i="58"/>
  <c r="D12" i="58"/>
  <c r="D15" i="57"/>
  <c r="D13" i="57"/>
  <c r="D12" i="57"/>
  <c r="D11" i="57"/>
  <c r="D9" i="57"/>
  <c r="D12" i="56"/>
  <c r="D14" i="56"/>
  <c r="D24" i="55"/>
  <c r="D23" i="55"/>
  <c r="D22" i="55"/>
  <c r="D21" i="55"/>
  <c r="D20" i="55"/>
  <c r="D19" i="55"/>
  <c r="D18" i="55"/>
  <c r="D13" i="55"/>
  <c r="D12" i="55"/>
  <c r="D11" i="55"/>
  <c r="D14" i="52"/>
  <c r="D12" i="52"/>
  <c r="D11" i="52"/>
  <c r="D10" i="52"/>
  <c r="D9" i="52"/>
  <c r="D20" i="52"/>
  <c r="D21" i="52"/>
  <c r="D22" i="52"/>
  <c r="D23" i="52"/>
  <c r="D11" i="51"/>
  <c r="D12" i="51"/>
  <c r="D14" i="51"/>
  <c r="D18" i="51"/>
  <c r="D17" i="51"/>
  <c r="D13" i="51"/>
  <c r="D10" i="51"/>
  <c r="D9" i="51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24" i="50"/>
  <c r="D23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F9" i="49" l="1"/>
  <c r="E11" i="49"/>
  <c r="E22" i="49"/>
  <c r="E21" i="49"/>
  <c r="E20" i="49"/>
  <c r="E19" i="49"/>
  <c r="E18" i="49"/>
  <c r="E17" i="49"/>
  <c r="E16" i="49"/>
  <c r="E15" i="49"/>
  <c r="E14" i="49"/>
  <c r="E13" i="49"/>
  <c r="E12" i="49"/>
  <c r="E10" i="49"/>
  <c r="E9" i="49"/>
  <c r="C21" i="49"/>
  <c r="C22" i="49"/>
  <c r="C20" i="49"/>
  <c r="C19" i="49"/>
  <c r="C18" i="49"/>
  <c r="C17" i="49"/>
  <c r="C16" i="49"/>
  <c r="C15" i="49"/>
  <c r="C14" i="49"/>
  <c r="C13" i="49"/>
  <c r="C12" i="49"/>
  <c r="C11" i="49"/>
  <c r="C10" i="49"/>
  <c r="B19" i="24"/>
  <c r="F18" i="24"/>
  <c r="B9" i="24"/>
  <c r="E9" i="24"/>
  <c r="F9" i="24"/>
  <c r="F13" i="24"/>
  <c r="B17" i="1"/>
  <c r="B16" i="1"/>
  <c r="B15" i="1"/>
  <c r="B14" i="1"/>
  <c r="B13" i="1"/>
  <c r="B12" i="1"/>
  <c r="B11" i="1"/>
  <c r="B9" i="1"/>
  <c r="B8" i="1"/>
  <c r="B10" i="1" l="1"/>
  <c r="E13" i="24"/>
  <c r="D13" i="24"/>
  <c r="C13" i="24"/>
  <c r="B13" i="24"/>
  <c r="F26" i="29"/>
  <c r="E26" i="29"/>
  <c r="D26" i="29"/>
  <c r="C26" i="29"/>
  <c r="B26" i="29"/>
  <c r="F12" i="24"/>
  <c r="E12" i="24"/>
  <c r="D12" i="24"/>
  <c r="C12" i="24"/>
  <c r="B12" i="24"/>
  <c r="F11" i="24"/>
  <c r="E11" i="6"/>
  <c r="E12" i="6"/>
  <c r="E13" i="6"/>
  <c r="E14" i="6"/>
  <c r="E15" i="6"/>
  <c r="E16" i="6"/>
  <c r="E17" i="6"/>
  <c r="E18" i="6"/>
  <c r="E19" i="6"/>
  <c r="E20" i="6"/>
  <c r="E21" i="6"/>
  <c r="E10" i="6"/>
  <c r="E10" i="5"/>
  <c r="E11" i="5"/>
  <c r="E12" i="5"/>
  <c r="E13" i="5"/>
  <c r="E14" i="5"/>
  <c r="E15" i="5"/>
  <c r="E16" i="5"/>
  <c r="E17" i="5"/>
  <c r="E18" i="5"/>
  <c r="E19" i="5"/>
  <c r="E20" i="5"/>
  <c r="E9" i="5"/>
  <c r="E10" i="8" l="1"/>
  <c r="E11" i="8"/>
  <c r="E12" i="8"/>
  <c r="E13" i="8"/>
  <c r="E14" i="8"/>
  <c r="E15" i="8"/>
  <c r="E16" i="8"/>
  <c r="E17" i="8"/>
  <c r="E18" i="8"/>
  <c r="E19" i="8"/>
  <c r="E20" i="8"/>
  <c r="E9" i="8"/>
  <c r="E10" i="7"/>
  <c r="E11" i="7"/>
  <c r="E12" i="7"/>
  <c r="E13" i="7"/>
  <c r="E14" i="7"/>
  <c r="E15" i="7"/>
  <c r="E16" i="7"/>
  <c r="E17" i="7"/>
  <c r="E18" i="7"/>
  <c r="E19" i="7"/>
  <c r="E20" i="7"/>
  <c r="E9" i="7"/>
  <c r="E11" i="24"/>
  <c r="D11" i="24"/>
  <c r="C11" i="24"/>
  <c r="B11" i="24"/>
  <c r="E10" i="24"/>
  <c r="D10" i="24"/>
  <c r="C10" i="24"/>
  <c r="B10" i="24"/>
  <c r="F12" i="15"/>
  <c r="F11" i="15"/>
  <c r="F8" i="13"/>
  <c r="E12" i="15"/>
  <c r="E11" i="15"/>
  <c r="D17" i="1" l="1"/>
  <c r="D16" i="1"/>
  <c r="H8" i="60"/>
  <c r="I8" i="60"/>
  <c r="I8" i="59"/>
  <c r="H8" i="59" s="1"/>
  <c r="H8" i="58"/>
  <c r="I8" i="58"/>
  <c r="H8" i="57"/>
  <c r="I8" i="57"/>
  <c r="H8" i="56"/>
  <c r="I8" i="56"/>
  <c r="H8" i="55"/>
  <c r="H8" i="53"/>
  <c r="I8" i="53"/>
  <c r="H8" i="51"/>
  <c r="I8" i="55"/>
  <c r="I8" i="54"/>
  <c r="H8" i="54" s="1"/>
  <c r="I8" i="52"/>
  <c r="H8" i="52" s="1"/>
  <c r="I8" i="51"/>
  <c r="H8" i="50"/>
  <c r="I8" i="50"/>
  <c r="H8" i="49"/>
  <c r="I8" i="49"/>
  <c r="H8" i="48"/>
  <c r="I8" i="48"/>
  <c r="H8" i="47"/>
  <c r="I8" i="47"/>
  <c r="H8" i="46"/>
  <c r="I8" i="46"/>
  <c r="H8" i="45"/>
  <c r="I8" i="45"/>
  <c r="H8" i="44"/>
  <c r="I8" i="44"/>
  <c r="H8" i="43"/>
  <c r="I8" i="43"/>
  <c r="H8" i="42"/>
  <c r="H8" i="41"/>
  <c r="H8" i="40"/>
  <c r="I8" i="40"/>
  <c r="H8" i="39"/>
  <c r="I8" i="39"/>
  <c r="H8" i="38"/>
  <c r="J8" i="38"/>
  <c r="F9" i="37"/>
  <c r="H8" i="37"/>
  <c r="I8" i="37"/>
  <c r="H8" i="36"/>
  <c r="I8" i="36"/>
  <c r="H8" i="35"/>
  <c r="I8" i="35"/>
  <c r="H8" i="34"/>
  <c r="I8" i="34"/>
  <c r="H8" i="33"/>
  <c r="H8" i="32"/>
  <c r="I8" i="32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9" i="31"/>
  <c r="E15" i="31"/>
  <c r="H8" i="31"/>
  <c r="H8" i="30"/>
  <c r="I8" i="30"/>
  <c r="G7" i="29"/>
  <c r="I7" i="29"/>
  <c r="F9" i="25"/>
  <c r="D10" i="10"/>
  <c r="D9" i="10"/>
  <c r="H8" i="8" l="1"/>
  <c r="J8" i="8"/>
  <c r="H7" i="7"/>
  <c r="J7" i="7"/>
  <c r="H8" i="6"/>
  <c r="H7" i="5"/>
  <c r="H7" i="28"/>
  <c r="E9" i="51"/>
  <c r="E9" i="52"/>
  <c r="E9" i="53"/>
  <c r="E9" i="55"/>
  <c r="E9" i="56"/>
  <c r="E9" i="58"/>
  <c r="E9" i="60"/>
  <c r="D19" i="60"/>
  <c r="D17" i="60"/>
  <c r="D16" i="60"/>
  <c r="D13" i="60"/>
  <c r="D11" i="60"/>
  <c r="D10" i="60"/>
  <c r="D9" i="60"/>
  <c r="F10" i="60"/>
  <c r="F11" i="60"/>
  <c r="F12" i="60"/>
  <c r="F13" i="60"/>
  <c r="F14" i="60"/>
  <c r="F15" i="60"/>
  <c r="F16" i="60"/>
  <c r="F17" i="60"/>
  <c r="F18" i="60"/>
  <c r="F19" i="60"/>
  <c r="F20" i="60"/>
  <c r="F21" i="60"/>
  <c r="F22" i="60"/>
  <c r="F23" i="60"/>
  <c r="F24" i="60"/>
  <c r="F25" i="60"/>
  <c r="D20" i="59"/>
  <c r="D17" i="59"/>
  <c r="E17" i="59" s="1"/>
  <c r="D13" i="59"/>
  <c r="E13" i="59" s="1"/>
  <c r="D10" i="59"/>
  <c r="E10" i="59" s="1"/>
  <c r="D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9" i="59"/>
  <c r="D24" i="58"/>
  <c r="D23" i="58"/>
  <c r="D20" i="58"/>
  <c r="D17" i="58"/>
  <c r="D16" i="58"/>
  <c r="D11" i="58"/>
  <c r="D10" i="58"/>
  <c r="D9" i="58"/>
  <c r="F10" i="58"/>
  <c r="F11" i="58"/>
  <c r="F12" i="58"/>
  <c r="F13" i="58"/>
  <c r="F14" i="58"/>
  <c r="F15" i="58"/>
  <c r="F16" i="58"/>
  <c r="F17" i="58"/>
  <c r="F18" i="58"/>
  <c r="F19" i="58"/>
  <c r="F20" i="58"/>
  <c r="F21" i="58"/>
  <c r="F22" i="58"/>
  <c r="F23" i="58"/>
  <c r="F24" i="58"/>
  <c r="F25" i="58"/>
  <c r="E9" i="57"/>
  <c r="D25" i="57"/>
  <c r="D24" i="57"/>
  <c r="D23" i="57"/>
  <c r="D22" i="57"/>
  <c r="D21" i="57"/>
  <c r="D20" i="57"/>
  <c r="D19" i="57"/>
  <c r="D18" i="57"/>
  <c r="D17" i="57"/>
  <c r="D16" i="57"/>
  <c r="D10" i="57"/>
  <c r="F10" i="57"/>
  <c r="F11" i="57"/>
  <c r="F12" i="57"/>
  <c r="F13" i="57"/>
  <c r="F14" i="57"/>
  <c r="F15" i="57"/>
  <c r="F16" i="57"/>
  <c r="F17" i="57"/>
  <c r="F18" i="57"/>
  <c r="F19" i="57"/>
  <c r="F20" i="57"/>
  <c r="F21" i="57"/>
  <c r="F22" i="57"/>
  <c r="F23" i="57"/>
  <c r="F24" i="57"/>
  <c r="F25" i="57"/>
  <c r="D11" i="56"/>
  <c r="D10" i="56"/>
  <c r="D9" i="56"/>
  <c r="F10" i="56"/>
  <c r="F11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D25" i="55"/>
  <c r="D17" i="55"/>
  <c r="D16" i="55"/>
  <c r="D15" i="55"/>
  <c r="D14" i="55"/>
  <c r="D10" i="55"/>
  <c r="D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9" i="55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9" i="54"/>
  <c r="F9" i="52"/>
  <c r="F10" i="52"/>
  <c r="F11" i="52"/>
  <c r="F12" i="52"/>
  <c r="F13" i="52"/>
  <c r="F14" i="52"/>
  <c r="F15" i="52"/>
  <c r="F16" i="52"/>
  <c r="F17" i="52"/>
  <c r="F18" i="52"/>
  <c r="F19" i="52"/>
  <c r="F20" i="52"/>
  <c r="F21" i="52"/>
  <c r="F22" i="52"/>
  <c r="F23" i="52"/>
  <c r="F24" i="52"/>
  <c r="F25" i="52"/>
  <c r="F10" i="51"/>
  <c r="F11" i="51"/>
  <c r="F12" i="51"/>
  <c r="F13" i="51"/>
  <c r="F14" i="51"/>
  <c r="F15" i="51"/>
  <c r="F16" i="51"/>
  <c r="F17" i="51"/>
  <c r="F18" i="51"/>
  <c r="F19" i="51"/>
  <c r="F20" i="51"/>
  <c r="F21" i="51"/>
  <c r="F22" i="51"/>
  <c r="F23" i="51"/>
  <c r="F24" i="51"/>
  <c r="F25" i="51"/>
  <c r="F9" i="51"/>
  <c r="F10" i="53"/>
  <c r="F11" i="53"/>
  <c r="F12" i="53"/>
  <c r="F13" i="53"/>
  <c r="F14" i="53"/>
  <c r="F15" i="53"/>
  <c r="F16" i="53"/>
  <c r="F17" i="53"/>
  <c r="F18" i="53"/>
  <c r="F19" i="53"/>
  <c r="F20" i="53"/>
  <c r="F21" i="53"/>
  <c r="F22" i="53"/>
  <c r="F23" i="53"/>
  <c r="F24" i="53"/>
  <c r="F25" i="53"/>
  <c r="F9" i="53"/>
  <c r="D17" i="54"/>
  <c r="D16" i="54"/>
  <c r="D14" i="54"/>
  <c r="D13" i="54"/>
  <c r="D12" i="54"/>
  <c r="D11" i="54"/>
  <c r="D10" i="54"/>
  <c r="D9" i="54"/>
  <c r="E9" i="54" s="1"/>
  <c r="D24" i="53"/>
  <c r="D17" i="53"/>
  <c r="D16" i="53"/>
  <c r="D14" i="53"/>
  <c r="D13" i="53"/>
  <c r="D12" i="53"/>
  <c r="D11" i="53"/>
  <c r="D9" i="53"/>
  <c r="D25" i="52"/>
  <c r="D24" i="52"/>
  <c r="D19" i="52"/>
  <c r="D18" i="52"/>
  <c r="D17" i="52"/>
  <c r="D16" i="52"/>
  <c r="D15" i="52"/>
  <c r="F10" i="50"/>
  <c r="F11" i="50"/>
  <c r="F12" i="50"/>
  <c r="F13" i="50"/>
  <c r="F14" i="50"/>
  <c r="F15" i="50"/>
  <c r="F16" i="50"/>
  <c r="F17" i="50"/>
  <c r="F18" i="50"/>
  <c r="F19" i="50"/>
  <c r="F20" i="50"/>
  <c r="F21" i="50"/>
  <c r="F22" i="50"/>
  <c r="F23" i="50"/>
  <c r="F24" i="50"/>
  <c r="F26" i="59" l="1"/>
  <c r="D26" i="59"/>
  <c r="E9" i="59"/>
  <c r="E26" i="59" s="1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10" i="42"/>
  <c r="F11" i="42"/>
  <c r="F12" i="42"/>
  <c r="F13" i="42"/>
  <c r="F14" i="42"/>
  <c r="F15" i="42"/>
  <c r="F16" i="42"/>
  <c r="F17" i="42"/>
  <c r="F18" i="42"/>
  <c r="F19" i="42"/>
  <c r="F20" i="42"/>
  <c r="F21" i="42"/>
  <c r="F22" i="42"/>
  <c r="F23" i="42"/>
  <c r="F24" i="42"/>
  <c r="F25" i="42"/>
  <c r="F9" i="42"/>
  <c r="F10" i="41"/>
  <c r="F11" i="4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9" i="41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9" i="40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9" i="39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9" i="38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9" i="32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13" i="28"/>
  <c r="F12" i="28"/>
  <c r="F11" i="28"/>
  <c r="F10" i="28"/>
  <c r="F9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26" i="27" s="1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9" i="5"/>
  <c r="D9" i="8" l="1"/>
  <c r="B21" i="8"/>
  <c r="F9" i="8" l="1"/>
  <c r="G9" i="8" s="1"/>
  <c r="F9" i="34" l="1"/>
  <c r="F9" i="33"/>
  <c r="F9" i="60"/>
  <c r="F9" i="58"/>
  <c r="F9" i="57"/>
  <c r="F9" i="56"/>
  <c r="F9" i="50"/>
  <c r="F9" i="44"/>
  <c r="F10" i="43"/>
  <c r="F11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9" i="43"/>
  <c r="F10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9" i="48"/>
  <c r="F10" i="46"/>
  <c r="F11" i="46"/>
  <c r="F12" i="46"/>
  <c r="F13" i="46"/>
  <c r="F14" i="46"/>
  <c r="F15" i="46"/>
  <c r="F16" i="46"/>
  <c r="F17" i="46"/>
  <c r="F18" i="46"/>
  <c r="F19" i="46"/>
  <c r="F20" i="46"/>
  <c r="F21" i="46"/>
  <c r="F22" i="46"/>
  <c r="F23" i="46"/>
  <c r="F24" i="46"/>
  <c r="F25" i="46"/>
  <c r="F9" i="46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9" i="36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10" i="35"/>
  <c r="F9" i="35"/>
  <c r="F10" i="45"/>
  <c r="F11" i="45"/>
  <c r="F12" i="45"/>
  <c r="F13" i="45"/>
  <c r="F14" i="45"/>
  <c r="F15" i="45"/>
  <c r="F16" i="45"/>
  <c r="F17" i="45"/>
  <c r="F18" i="45"/>
  <c r="F19" i="45"/>
  <c r="F20" i="45"/>
  <c r="F21" i="45"/>
  <c r="F22" i="45"/>
  <c r="F23" i="45"/>
  <c r="F24" i="45"/>
  <c r="F25" i="45"/>
  <c r="F9" i="45"/>
  <c r="F9" i="47"/>
  <c r="F10" i="47" l="1"/>
  <c r="F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F24" i="47"/>
  <c r="F25" i="47"/>
  <c r="E21" i="9" l="1"/>
  <c r="D15" i="1" s="1"/>
  <c r="D21" i="9"/>
  <c r="C21" i="9"/>
  <c r="B21" i="9"/>
  <c r="E9" i="25"/>
  <c r="E21" i="5"/>
  <c r="D11" i="1" s="1"/>
  <c r="C21" i="5"/>
  <c r="B21" i="5"/>
  <c r="D10" i="1"/>
  <c r="E10" i="1" s="1"/>
  <c r="E15" i="1"/>
  <c r="E17" i="1"/>
  <c r="E16" i="1"/>
  <c r="E9" i="1"/>
  <c r="D9" i="1"/>
  <c r="E21" i="48" l="1"/>
  <c r="E14" i="48"/>
  <c r="E11" i="48"/>
  <c r="E9" i="48"/>
  <c r="B26" i="48"/>
  <c r="E12" i="47"/>
  <c r="E13" i="47"/>
  <c r="E14" i="46"/>
  <c r="E9" i="46"/>
  <c r="D26" i="46"/>
  <c r="E13" i="45"/>
  <c r="E12" i="45"/>
  <c r="E25" i="44"/>
  <c r="E21" i="44"/>
  <c r="E19" i="44"/>
  <c r="E13" i="44"/>
  <c r="E25" i="43"/>
  <c r="E21" i="43"/>
  <c r="E13" i="43"/>
  <c r="E12" i="43"/>
  <c r="E11" i="43"/>
  <c r="E24" i="42"/>
  <c r="E23" i="42"/>
  <c r="E22" i="42"/>
  <c r="E21" i="42"/>
  <c r="E19" i="42"/>
  <c r="E16" i="42"/>
  <c r="E15" i="42"/>
  <c r="E14" i="42"/>
  <c r="E13" i="42"/>
  <c r="E12" i="42"/>
  <c r="E11" i="42"/>
  <c r="E10" i="42"/>
  <c r="E24" i="41"/>
  <c r="E13" i="41"/>
  <c r="E12" i="41"/>
  <c r="E21" i="40"/>
  <c r="E9" i="40"/>
  <c r="E13" i="39"/>
  <c r="E12" i="39"/>
  <c r="E12" i="38"/>
  <c r="E12" i="37" l="1"/>
  <c r="E12" i="36"/>
  <c r="E13" i="35"/>
  <c r="E12" i="35"/>
  <c r="E22" i="41" l="1"/>
  <c r="E21" i="41"/>
  <c r="E20" i="41"/>
  <c r="E19" i="41"/>
  <c r="E18" i="41"/>
  <c r="E16" i="41"/>
  <c r="E15" i="41"/>
  <c r="E25" i="41"/>
  <c r="E13" i="37" l="1"/>
  <c r="E13" i="36"/>
  <c r="E10" i="33"/>
  <c r="E25" i="33" l="1"/>
  <c r="E24" i="33"/>
  <c r="E23" i="33"/>
  <c r="E22" i="33"/>
  <c r="E21" i="33"/>
  <c r="E20" i="33"/>
  <c r="E19" i="33"/>
  <c r="E18" i="33"/>
  <c r="E17" i="33"/>
  <c r="E16" i="33"/>
  <c r="E15" i="33"/>
  <c r="F26" i="54" l="1"/>
  <c r="E26" i="54"/>
  <c r="D26" i="54"/>
  <c r="C26" i="54"/>
  <c r="B26" i="54"/>
  <c r="F26" i="53"/>
  <c r="E26" i="53"/>
  <c r="D26" i="53"/>
  <c r="F26" i="51"/>
  <c r="E26" i="51"/>
  <c r="D26" i="51"/>
  <c r="C26" i="51"/>
  <c r="F26" i="50"/>
  <c r="E26" i="50"/>
  <c r="D26" i="50"/>
  <c r="C26" i="50"/>
  <c r="F26" i="49"/>
  <c r="E26" i="49"/>
  <c r="D26" i="49"/>
  <c r="C26" i="49"/>
  <c r="B26" i="49"/>
  <c r="F26" i="48"/>
  <c r="E26" i="48"/>
  <c r="D26" i="48"/>
  <c r="C26" i="48"/>
  <c r="F26" i="47"/>
  <c r="E26" i="47"/>
  <c r="D26" i="47"/>
  <c r="C26" i="47"/>
  <c r="B26" i="47"/>
  <c r="F26" i="46"/>
  <c r="E26" i="46"/>
  <c r="C26" i="46"/>
  <c r="B26" i="46"/>
  <c r="F26" i="45"/>
  <c r="E26" i="45"/>
  <c r="D26" i="45"/>
  <c r="C26" i="45"/>
  <c r="B26" i="45"/>
  <c r="F26" i="44"/>
  <c r="E26" i="44"/>
  <c r="D26" i="44"/>
  <c r="C26" i="44"/>
  <c r="B26" i="44"/>
  <c r="F26" i="43"/>
  <c r="E26" i="43"/>
  <c r="D26" i="43"/>
  <c r="C26" i="43"/>
  <c r="F26" i="42"/>
  <c r="E26" i="42"/>
  <c r="D26" i="42"/>
  <c r="C26" i="42"/>
  <c r="B26" i="42"/>
  <c r="F26" i="41"/>
  <c r="E26" i="41"/>
  <c r="D26" i="41"/>
  <c r="C26" i="41"/>
  <c r="B26" i="41"/>
  <c r="F26" i="40"/>
  <c r="E26" i="40"/>
  <c r="D26" i="40"/>
  <c r="C26" i="40"/>
  <c r="B26" i="40"/>
  <c r="F26" i="39"/>
  <c r="E26" i="39"/>
  <c r="D26" i="39"/>
  <c r="C26" i="39"/>
  <c r="B26" i="39"/>
  <c r="F26" i="38"/>
  <c r="E26" i="38"/>
  <c r="D26" i="38"/>
  <c r="C26" i="38"/>
  <c r="B26" i="38"/>
  <c r="F26" i="37"/>
  <c r="E26" i="37"/>
  <c r="D26" i="37"/>
  <c r="C26" i="37"/>
  <c r="B26" i="37"/>
  <c r="F26" i="36"/>
  <c r="E26" i="36"/>
  <c r="D26" i="36"/>
  <c r="C26" i="36"/>
  <c r="B26" i="36"/>
  <c r="F26" i="35"/>
  <c r="E26" i="35"/>
  <c r="D26" i="35"/>
  <c r="C26" i="35"/>
  <c r="B26" i="35"/>
  <c r="F26" i="34"/>
  <c r="E26" i="34"/>
  <c r="D26" i="34"/>
  <c r="C26" i="34"/>
  <c r="B26" i="34"/>
  <c r="F26" i="33"/>
  <c r="E26" i="33"/>
  <c r="D26" i="33"/>
  <c r="C26" i="33"/>
  <c r="B26" i="33"/>
  <c r="E14" i="32"/>
  <c r="E10" i="32"/>
  <c r="E9" i="32"/>
  <c r="E26" i="32" s="1"/>
  <c r="F26" i="32"/>
  <c r="D26" i="32"/>
  <c r="C26" i="32"/>
  <c r="B26" i="32"/>
  <c r="F26" i="31"/>
  <c r="E26" i="31"/>
  <c r="D26" i="31"/>
  <c r="C26" i="31"/>
  <c r="B26" i="31"/>
  <c r="E22" i="31"/>
  <c r="E19" i="31"/>
  <c r="E18" i="31"/>
  <c r="E17" i="31"/>
  <c r="E16" i="31"/>
  <c r="E20" i="30"/>
  <c r="E19" i="30"/>
  <c r="E18" i="30"/>
  <c r="E17" i="30"/>
  <c r="E16" i="30"/>
  <c r="E15" i="30"/>
  <c r="F26" i="30"/>
  <c r="E26" i="30"/>
  <c r="D26" i="30"/>
  <c r="C26" i="30"/>
  <c r="B26" i="30"/>
  <c r="F26" i="28"/>
  <c r="E26" i="28"/>
  <c r="D26" i="28"/>
  <c r="C26" i="28"/>
  <c r="B26" i="28"/>
  <c r="E15" i="28"/>
  <c r="E14" i="28"/>
  <c r="E12" i="28"/>
  <c r="E11" i="28"/>
  <c r="E10" i="28"/>
  <c r="D26" i="27"/>
  <c r="C26" i="27"/>
  <c r="B26" i="27"/>
  <c r="F26" i="26"/>
  <c r="E26" i="26"/>
  <c r="D26" i="26"/>
  <c r="C26" i="26"/>
  <c r="B26" i="26"/>
  <c r="E25" i="27"/>
  <c r="E24" i="27"/>
  <c r="E23" i="27"/>
  <c r="E20" i="27"/>
  <c r="E17" i="27"/>
  <c r="E16" i="27"/>
  <c r="E15" i="27"/>
  <c r="E14" i="27"/>
  <c r="E13" i="27"/>
  <c r="E12" i="27"/>
  <c r="E11" i="27"/>
  <c r="E10" i="27"/>
  <c r="E9" i="27"/>
  <c r="E26" i="27" s="1"/>
  <c r="E17" i="26"/>
  <c r="E16" i="26"/>
  <c r="E14" i="26"/>
  <c r="E10" i="26"/>
  <c r="E9" i="26"/>
  <c r="D10" i="5"/>
  <c r="F26" i="25" l="1"/>
  <c r="E26" i="25"/>
  <c r="D26" i="25"/>
  <c r="C26" i="25"/>
  <c r="B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F9" i="23" l="1"/>
  <c r="F25" i="23"/>
  <c r="E25" i="23"/>
  <c r="D25" i="23"/>
  <c r="C25" i="23"/>
  <c r="F25" i="22"/>
  <c r="E25" i="22"/>
  <c r="D25" i="22"/>
  <c r="C25" i="22"/>
  <c r="F23" i="22"/>
  <c r="F22" i="22"/>
  <c r="F19" i="22"/>
  <c r="F17" i="22"/>
  <c r="F16" i="22"/>
  <c r="F14" i="22"/>
  <c r="F25" i="21" l="1"/>
  <c r="E25" i="21"/>
  <c r="D25" i="21"/>
  <c r="C25" i="21"/>
  <c r="F16" i="21"/>
  <c r="F25" i="20"/>
  <c r="E25" i="20"/>
  <c r="D25" i="20"/>
  <c r="C25" i="20"/>
  <c r="F9" i="20"/>
  <c r="F8" i="20"/>
  <c r="F25" i="19"/>
  <c r="E25" i="19"/>
  <c r="D25" i="19"/>
  <c r="C25" i="19"/>
  <c r="F16" i="19"/>
  <c r="F9" i="19"/>
  <c r="F8" i="19"/>
  <c r="F25" i="18"/>
  <c r="E25" i="18"/>
  <c r="D25" i="18"/>
  <c r="C25" i="18"/>
  <c r="F16" i="18"/>
  <c r="F12" i="18"/>
  <c r="F11" i="18"/>
  <c r="F9" i="18"/>
  <c r="F8" i="18"/>
  <c r="F25" i="17"/>
  <c r="E25" i="17"/>
  <c r="D25" i="17"/>
  <c r="C25" i="17"/>
  <c r="F11" i="17"/>
  <c r="F10" i="17"/>
  <c r="C25" i="12"/>
  <c r="F22" i="13" l="1"/>
  <c r="F21" i="13"/>
  <c r="F18" i="13"/>
  <c r="F17" i="13"/>
  <c r="F16" i="13"/>
  <c r="F15" i="13"/>
  <c r="F13" i="13"/>
  <c r="F12" i="13"/>
  <c r="F11" i="13"/>
  <c r="F9" i="13"/>
  <c r="E25" i="16" l="1"/>
  <c r="D25" i="16"/>
  <c r="C25" i="16"/>
  <c r="C25" i="14"/>
  <c r="F16" i="16"/>
  <c r="F13" i="16"/>
  <c r="F12" i="16"/>
  <c r="F11" i="16"/>
  <c r="F10" i="16"/>
  <c r="F9" i="16"/>
  <c r="F8" i="16"/>
  <c r="F25" i="15"/>
  <c r="E25" i="15"/>
  <c r="D25" i="15"/>
  <c r="C25" i="15"/>
  <c r="E25" i="14"/>
  <c r="D25" i="14"/>
  <c r="F12" i="14"/>
  <c r="F11" i="14"/>
  <c r="E25" i="13"/>
  <c r="D25" i="13"/>
  <c r="C25" i="13"/>
  <c r="F10" i="13"/>
  <c r="F25" i="13" s="1"/>
  <c r="E25" i="12"/>
  <c r="D25" i="12"/>
  <c r="F9" i="12"/>
  <c r="F8" i="12"/>
  <c r="F25" i="16" l="1"/>
  <c r="F25" i="14"/>
  <c r="F25" i="12"/>
  <c r="F20" i="9"/>
  <c r="F19" i="9"/>
  <c r="F18" i="9"/>
  <c r="F17" i="9"/>
  <c r="F16" i="9"/>
  <c r="F15" i="9"/>
  <c r="F14" i="9"/>
  <c r="F13" i="9"/>
  <c r="F12" i="9"/>
  <c r="F11" i="9"/>
  <c r="F10" i="9"/>
  <c r="F9" i="9"/>
  <c r="G9" i="9" l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F21" i="9"/>
  <c r="G21" i="9" l="1"/>
  <c r="D20" i="8"/>
  <c r="D19" i="8"/>
  <c r="F19" i="8" s="1"/>
  <c r="D18" i="8"/>
  <c r="F18" i="8" s="1"/>
  <c r="D17" i="8"/>
  <c r="F17" i="8" s="1"/>
  <c r="D16" i="8"/>
  <c r="F16" i="8" s="1"/>
  <c r="D15" i="8"/>
  <c r="F15" i="8" s="1"/>
  <c r="D14" i="8"/>
  <c r="F14" i="8" s="1"/>
  <c r="D13" i="8"/>
  <c r="F13" i="8" s="1"/>
  <c r="D12" i="8"/>
  <c r="F12" i="8" s="1"/>
  <c r="D11" i="8"/>
  <c r="F11" i="8" s="1"/>
  <c r="D10" i="8"/>
  <c r="F10" i="8" s="1"/>
  <c r="C21" i="8"/>
  <c r="F20" i="7"/>
  <c r="F19" i="7"/>
  <c r="F18" i="7"/>
  <c r="F17" i="7"/>
  <c r="F16" i="7"/>
  <c r="F15" i="7"/>
  <c r="F14" i="7"/>
  <c r="F13" i="7"/>
  <c r="F12" i="7"/>
  <c r="F11" i="7"/>
  <c r="F10" i="7"/>
  <c r="F9" i="7"/>
  <c r="G9" i="7" s="1"/>
  <c r="D20" i="7"/>
  <c r="D19" i="7"/>
  <c r="D18" i="7"/>
  <c r="D17" i="7"/>
  <c r="D16" i="7"/>
  <c r="D15" i="7"/>
  <c r="D14" i="7"/>
  <c r="D13" i="7"/>
  <c r="D12" i="7"/>
  <c r="D11" i="7"/>
  <c r="D10" i="7"/>
  <c r="D9" i="7"/>
  <c r="D21" i="7" s="1"/>
  <c r="E21" i="7"/>
  <c r="D13" i="1" s="1"/>
  <c r="C21" i="7"/>
  <c r="B21" i="7"/>
  <c r="E22" i="6"/>
  <c r="D12" i="1" s="1"/>
  <c r="E12" i="1" s="1"/>
  <c r="D22" i="6"/>
  <c r="C22" i="6"/>
  <c r="B22" i="6"/>
  <c r="F21" i="6"/>
  <c r="F20" i="6"/>
  <c r="F19" i="6"/>
  <c r="F18" i="6"/>
  <c r="F17" i="6"/>
  <c r="F16" i="6"/>
  <c r="F15" i="6"/>
  <c r="F14" i="6"/>
  <c r="F13" i="6"/>
  <c r="F12" i="6"/>
  <c r="F11" i="6"/>
  <c r="F10" i="6"/>
  <c r="G10" i="6" s="1"/>
  <c r="G11" i="6" s="1"/>
  <c r="G12" i="6" s="1"/>
  <c r="D20" i="6"/>
  <c r="D19" i="6"/>
  <c r="D18" i="6"/>
  <c r="D17" i="6"/>
  <c r="D15" i="6"/>
  <c r="D21" i="6"/>
  <c r="D14" i="6"/>
  <c r="D13" i="6"/>
  <c r="D12" i="6"/>
  <c r="D11" i="6"/>
  <c r="D10" i="6"/>
  <c r="G9" i="5"/>
  <c r="F10" i="5"/>
  <c r="D17" i="5"/>
  <c r="F17" i="5" s="1"/>
  <c r="D16" i="5"/>
  <c r="F16" i="5" s="1"/>
  <c r="D15" i="5"/>
  <c r="F15" i="5" s="1"/>
  <c r="D14" i="5"/>
  <c r="F14" i="5" s="1"/>
  <c r="D13" i="5"/>
  <c r="F13" i="5" s="1"/>
  <c r="D12" i="5"/>
  <c r="F12" i="5" s="1"/>
  <c r="D11" i="5"/>
  <c r="G13" i="6" l="1"/>
  <c r="G14" i="6" s="1"/>
  <c r="G15" i="6" s="1"/>
  <c r="G16" i="6" s="1"/>
  <c r="G17" i="6" s="1"/>
  <c r="G18" i="6" s="1"/>
  <c r="G19" i="6" s="1"/>
  <c r="G20" i="6" s="1"/>
  <c r="G21" i="6" s="1"/>
  <c r="E21" i="8"/>
  <c r="D14" i="1" s="1"/>
  <c r="D21" i="5"/>
  <c r="F11" i="5"/>
  <c r="F21" i="5" s="1"/>
  <c r="G10" i="5"/>
  <c r="D21" i="8"/>
  <c r="F22" i="6"/>
  <c r="G10" i="8"/>
  <c r="G11" i="8" s="1"/>
  <c r="G12" i="8" s="1"/>
  <c r="G13" i="8" s="1"/>
  <c r="G14" i="8" s="1"/>
  <c r="G15" i="8" s="1"/>
  <c r="G16" i="8" s="1"/>
  <c r="G17" i="8" s="1"/>
  <c r="G18" i="8" s="1"/>
  <c r="G19" i="8" s="1"/>
  <c r="G10" i="7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F21" i="7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21" i="10"/>
  <c r="D13" i="10"/>
  <c r="C21" i="10"/>
  <c r="D20" i="10"/>
  <c r="D19" i="10"/>
  <c r="D18" i="10"/>
  <c r="D17" i="10"/>
  <c r="D16" i="10"/>
  <c r="D15" i="10"/>
  <c r="D14" i="10"/>
  <c r="D12" i="10"/>
  <c r="D11" i="10"/>
  <c r="E21" i="10"/>
  <c r="B21" i="10"/>
  <c r="C17" i="1"/>
  <c r="B21" i="11"/>
  <c r="D12" i="11"/>
  <c r="F12" i="11" s="1"/>
  <c r="L10" i="11"/>
  <c r="K10" i="11"/>
  <c r="J10" i="11"/>
  <c r="I10" i="11"/>
  <c r="H10" i="11"/>
  <c r="E10" i="11"/>
  <c r="G22" i="6" l="1"/>
  <c r="G11" i="5"/>
  <c r="G12" i="5" s="1"/>
  <c r="G13" i="5" s="1"/>
  <c r="G14" i="5" s="1"/>
  <c r="G15" i="5" s="1"/>
  <c r="G16" i="5" s="1"/>
  <c r="G17" i="5" s="1"/>
  <c r="G18" i="5" s="1"/>
  <c r="G19" i="5" s="1"/>
  <c r="G20" i="5" s="1"/>
  <c r="F20" i="8"/>
  <c r="F21" i="8" s="1"/>
  <c r="E14" i="1" s="1"/>
  <c r="G21" i="7"/>
  <c r="D21" i="10"/>
  <c r="G21" i="5" l="1"/>
  <c r="G20" i="8"/>
  <c r="G21" i="8" s="1"/>
  <c r="F20" i="11"/>
  <c r="D20" i="11"/>
  <c r="D19" i="11"/>
  <c r="F19" i="11" s="1"/>
  <c r="D18" i="11"/>
  <c r="F18" i="11" s="1"/>
  <c r="D17" i="11"/>
  <c r="F17" i="11" s="1"/>
  <c r="D16" i="11"/>
  <c r="F16" i="11" s="1"/>
  <c r="D15" i="11"/>
  <c r="F15" i="11" s="1"/>
  <c r="D14" i="11"/>
  <c r="F14" i="11" s="1"/>
  <c r="D13" i="11"/>
  <c r="F13" i="11" s="1"/>
  <c r="D11" i="11"/>
  <c r="F11" i="11" s="1"/>
  <c r="D9" i="11"/>
  <c r="D10" i="11" s="1"/>
  <c r="E21" i="11"/>
  <c r="C21" i="11"/>
  <c r="C16" i="1"/>
  <c r="C15" i="1"/>
  <c r="C14" i="1"/>
  <c r="C13" i="1"/>
  <c r="E13" i="1" s="1"/>
  <c r="C12" i="1"/>
  <c r="C11" i="1"/>
  <c r="E11" i="1" s="1"/>
  <c r="C10" i="1"/>
  <c r="C9" i="1"/>
  <c r="F9" i="11" l="1"/>
  <c r="F10" i="11" s="1"/>
  <c r="F21" i="11"/>
  <c r="D21" i="11"/>
  <c r="G9" i="11"/>
  <c r="G10" i="11" l="1"/>
  <c r="G11" i="11" l="1"/>
  <c r="G12" i="11" l="1"/>
  <c r="G13" i="11" s="1"/>
  <c r="G14" i="11" s="1"/>
  <c r="G15" i="11" s="1"/>
  <c r="G16" i="11" s="1"/>
  <c r="G17" i="11" s="1"/>
  <c r="G18" i="11" s="1"/>
  <c r="G19" i="11" s="1"/>
  <c r="G20" i="11" s="1"/>
  <c r="G21" i="11" s="1"/>
  <c r="B22" i="1" l="1"/>
  <c r="F19" i="4"/>
  <c r="F18" i="4"/>
  <c r="F17" i="4"/>
  <c r="F16" i="4"/>
  <c r="F15" i="4"/>
  <c r="F14" i="4"/>
  <c r="F13" i="4"/>
  <c r="F12" i="4"/>
  <c r="F11" i="4"/>
  <c r="F10" i="4"/>
  <c r="F9" i="4"/>
  <c r="F8" i="4"/>
  <c r="F20" i="4" s="1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D20" i="3"/>
  <c r="D19" i="3"/>
  <c r="D18" i="3"/>
  <c r="D17" i="3"/>
  <c r="D16" i="3"/>
  <c r="D15" i="3"/>
  <c r="D14" i="3"/>
  <c r="D13" i="3"/>
  <c r="D12" i="3"/>
  <c r="D11" i="3"/>
  <c r="D10" i="3"/>
  <c r="D9" i="3"/>
  <c r="E20" i="4"/>
  <c r="D20" i="4"/>
  <c r="C20" i="4"/>
  <c r="B20" i="4"/>
  <c r="D17" i="4"/>
  <c r="D16" i="4"/>
  <c r="D15" i="4"/>
  <c r="D14" i="4"/>
  <c r="D13" i="4"/>
  <c r="D12" i="4"/>
  <c r="D19" i="4"/>
  <c r="D18" i="4"/>
  <c r="D11" i="4"/>
  <c r="D10" i="4"/>
  <c r="D9" i="4"/>
  <c r="D8" i="4"/>
  <c r="F9" i="2"/>
  <c r="E21" i="3"/>
  <c r="C21" i="3"/>
  <c r="B21" i="3"/>
  <c r="G8" i="4" l="1"/>
  <c r="G9" i="3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D21" i="3"/>
  <c r="G9" i="4" l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1" i="3"/>
  <c r="G20" i="4" l="1"/>
  <c r="G9" i="2"/>
  <c r="F20" i="2"/>
  <c r="F19" i="2"/>
  <c r="F18" i="2"/>
  <c r="F17" i="2"/>
  <c r="F16" i="2"/>
  <c r="F15" i="2"/>
  <c r="F14" i="2"/>
  <c r="F13" i="2"/>
  <c r="F12" i="2"/>
  <c r="F11" i="2"/>
  <c r="F10" i="2"/>
  <c r="E21" i="2"/>
  <c r="D8" i="1" s="1"/>
  <c r="D22" i="1" s="1"/>
  <c r="D21" i="2"/>
  <c r="C8" i="1" s="1"/>
  <c r="C21" i="2"/>
  <c r="B21" i="2"/>
  <c r="G10" i="2" l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E8" i="1"/>
  <c r="E22" i="1" s="1"/>
  <c r="C22" i="1"/>
  <c r="G21" i="2"/>
  <c r="F21" i="2"/>
  <c r="M33" i="3" l="1"/>
  <c r="L33" i="3"/>
  <c r="K33" i="3"/>
  <c r="J33" i="3"/>
  <c r="I33" i="3"/>
  <c r="H33" i="3"/>
  <c r="G33" i="3"/>
  <c r="F33" i="3"/>
  <c r="E33" i="3"/>
  <c r="D33" i="3"/>
  <c r="C33" i="3"/>
  <c r="B33" i="3"/>
  <c r="N33" i="3" l="1"/>
  <c r="D23" i="1"/>
  <c r="C23" i="1"/>
  <c r="B23" i="1"/>
  <c r="E23" i="1" l="1"/>
  <c r="A27" i="60"/>
  <c r="A28" i="60" s="1"/>
  <c r="A29" i="60" s="1"/>
  <c r="A30" i="60" s="1"/>
  <c r="A27" i="59"/>
  <c r="A28" i="59" s="1"/>
  <c r="A29" i="59" s="1"/>
  <c r="A30" i="59" s="1"/>
  <c r="A27" i="58"/>
  <c r="A28" i="58" s="1"/>
  <c r="A29" i="58" s="1"/>
  <c r="A30" i="58" s="1"/>
  <c r="A27" i="57"/>
  <c r="A28" i="57" s="1"/>
  <c r="A29" i="57" s="1"/>
  <c r="A30" i="57" s="1"/>
  <c r="A27" i="56"/>
  <c r="A28" i="56" s="1"/>
  <c r="A29" i="56" s="1"/>
  <c r="A30" i="56" s="1"/>
  <c r="A27" i="55"/>
  <c r="A28" i="55" s="1"/>
  <c r="A29" i="55" s="1"/>
  <c r="A30" i="55" s="1"/>
  <c r="A27" i="54"/>
  <c r="A28" i="54" s="1"/>
  <c r="A29" i="54" s="1"/>
  <c r="A30" i="54" s="1"/>
  <c r="A27" i="53"/>
  <c r="A28" i="53" s="1"/>
  <c r="A29" i="53" s="1"/>
  <c r="A30" i="53" s="1"/>
  <c r="A27" i="52"/>
  <c r="A28" i="52" s="1"/>
  <c r="A29" i="52" s="1"/>
  <c r="A30" i="52" s="1"/>
  <c r="A27" i="51"/>
  <c r="A28" i="51" s="1"/>
  <c r="A29" i="51" s="1"/>
  <c r="A30" i="51" s="1"/>
  <c r="A27" i="50"/>
  <c r="A28" i="50" s="1"/>
  <c r="A29" i="50" s="1"/>
  <c r="A30" i="50" s="1"/>
  <c r="A27" i="49"/>
  <c r="A28" i="49" s="1"/>
  <c r="A29" i="49" s="1"/>
  <c r="A30" i="49" s="1"/>
  <c r="A27" i="48"/>
  <c r="A28" i="48" s="1"/>
  <c r="A29" i="48" s="1"/>
  <c r="A30" i="48" s="1"/>
  <c r="A27" i="47"/>
  <c r="A28" i="47" s="1"/>
  <c r="A29" i="47" s="1"/>
  <c r="A30" i="47" s="1"/>
  <c r="A27" i="46"/>
  <c r="A28" i="46" s="1"/>
  <c r="A29" i="46" s="1"/>
  <c r="A30" i="46" s="1"/>
  <c r="A27" i="45"/>
  <c r="A28" i="45" s="1"/>
  <c r="A29" i="45" s="1"/>
  <c r="A30" i="45" s="1"/>
  <c r="A27" i="44"/>
  <c r="A28" i="44" s="1"/>
  <c r="A29" i="44" s="1"/>
  <c r="A30" i="44" s="1"/>
  <c r="A27" i="43"/>
  <c r="A28" i="43" s="1"/>
  <c r="A29" i="43" s="1"/>
  <c r="A30" i="43" s="1"/>
  <c r="A27" i="42"/>
  <c r="A28" i="42" s="1"/>
  <c r="A29" i="42" s="1"/>
  <c r="A30" i="42" s="1"/>
  <c r="A27" i="41"/>
  <c r="A28" i="41" s="1"/>
  <c r="A29" i="41" s="1"/>
  <c r="A30" i="41" s="1"/>
  <c r="A27" i="40"/>
  <c r="A28" i="40" s="1"/>
  <c r="A29" i="40" s="1"/>
  <c r="A30" i="40" s="1"/>
  <c r="A27" i="39"/>
  <c r="A28" i="39" s="1"/>
  <c r="A29" i="39" s="1"/>
  <c r="A30" i="39" s="1"/>
  <c r="A27" i="38"/>
  <c r="A28" i="38" s="1"/>
  <c r="A29" i="38" s="1"/>
  <c r="A30" i="38" s="1"/>
  <c r="A27" i="37"/>
  <c r="A28" i="37" s="1"/>
  <c r="A29" i="37" s="1"/>
  <c r="A30" i="37" s="1"/>
  <c r="A27" i="36"/>
  <c r="A28" i="36" s="1"/>
  <c r="A29" i="36" s="1"/>
  <c r="A30" i="36" s="1"/>
  <c r="A27" i="35"/>
  <c r="A28" i="35" s="1"/>
  <c r="A29" i="35" s="1"/>
  <c r="A30" i="35" s="1"/>
  <c r="A27" i="34"/>
  <c r="A28" i="34" s="1"/>
  <c r="A29" i="34" s="1"/>
  <c r="A30" i="34" s="1"/>
  <c r="A27" i="33"/>
  <c r="A28" i="33" s="1"/>
  <c r="A29" i="33" s="1"/>
  <c r="A30" i="33" s="1"/>
  <c r="A27" i="32"/>
  <c r="A28" i="32" s="1"/>
  <c r="A29" i="32" s="1"/>
  <c r="A30" i="32" s="1"/>
  <c r="A27" i="31"/>
  <c r="A28" i="31" s="1"/>
  <c r="A29" i="31" s="1"/>
  <c r="A30" i="31" s="1"/>
  <c r="A27" i="30"/>
  <c r="A28" i="30" s="1"/>
  <c r="A29" i="30" s="1"/>
  <c r="A30" i="30" s="1"/>
  <c r="A27" i="29"/>
  <c r="A28" i="29" s="1"/>
  <c r="A29" i="29" s="1"/>
  <c r="A30" i="29" s="1"/>
  <c r="A27" i="28"/>
  <c r="A28" i="28" s="1"/>
  <c r="A29" i="28" s="1"/>
  <c r="A30" i="28" s="1"/>
  <c r="A27" i="27"/>
  <c r="A28" i="27" s="1"/>
  <c r="A29" i="27" s="1"/>
  <c r="A30" i="27" s="1"/>
  <c r="A27" i="26"/>
  <c r="A28" i="26" s="1"/>
  <c r="A29" i="26" s="1"/>
  <c r="A30" i="26" s="1"/>
  <c r="B26" i="23"/>
  <c r="B27" i="23" s="1"/>
  <c r="B28" i="23" s="1"/>
  <c r="B29" i="23" s="1"/>
  <c r="B26" i="22"/>
  <c r="B27" i="22" s="1"/>
  <c r="B28" i="22" s="1"/>
  <c r="B29" i="22" s="1"/>
  <c r="B26" i="21"/>
  <c r="B27" i="21" s="1"/>
  <c r="B28" i="21" s="1"/>
  <c r="B29" i="21" s="1"/>
  <c r="B26" i="20"/>
  <c r="B27" i="20" s="1"/>
  <c r="B28" i="20" s="1"/>
  <c r="B29" i="20" s="1"/>
  <c r="B26" i="19"/>
  <c r="B27" i="19" s="1"/>
  <c r="B28" i="19" s="1"/>
  <c r="B29" i="19" s="1"/>
  <c r="B26" i="18"/>
  <c r="B27" i="18" s="1"/>
  <c r="B28" i="18" s="1"/>
  <c r="B29" i="18" s="1"/>
  <c r="B26" i="17"/>
  <c r="B27" i="17" s="1"/>
  <c r="B28" i="17" s="1"/>
  <c r="B29" i="17" s="1"/>
  <c r="B26" i="16"/>
  <c r="B27" i="16" s="1"/>
  <c r="B28" i="16" s="1"/>
  <c r="B29" i="16" s="1"/>
  <c r="B26" i="15"/>
  <c r="B27" i="15" s="1"/>
  <c r="B28" i="15" s="1"/>
  <c r="B29" i="15" s="1"/>
  <c r="B26" i="14"/>
  <c r="B27" i="14" s="1"/>
  <c r="B28" i="14" s="1"/>
  <c r="B29" i="14" s="1"/>
  <c r="B26" i="13"/>
  <c r="B27" i="13" s="1"/>
  <c r="B28" i="13" s="1"/>
  <c r="B29" i="13" s="1"/>
  <c r="B26" i="12"/>
  <c r="B27" i="12" s="1"/>
  <c r="B28" i="12" s="1"/>
  <c r="B29" i="12" s="1"/>
  <c r="A22" i="11"/>
  <c r="A23" i="11" s="1"/>
  <c r="A24" i="11" s="1"/>
  <c r="A25" i="11" s="1"/>
  <c r="A23" i="10"/>
  <c r="A24" i="10" s="1"/>
  <c r="A25" i="10" s="1"/>
  <c r="A22" i="10"/>
  <c r="A22" i="9"/>
  <c r="A23" i="9" s="1"/>
  <c r="A24" i="9" s="1"/>
  <c r="A25" i="9" s="1"/>
  <c r="A22" i="8"/>
  <c r="A23" i="8" s="1"/>
  <c r="A24" i="8" s="1"/>
  <c r="A25" i="8" s="1"/>
  <c r="A22" i="7"/>
  <c r="A23" i="7" s="1"/>
  <c r="A24" i="7" s="1"/>
  <c r="A25" i="7" s="1"/>
  <c r="A24" i="6"/>
  <c r="A25" i="6" s="1"/>
  <c r="A26" i="6" s="1"/>
  <c r="A23" i="6"/>
  <c r="A22" i="5"/>
  <c r="A23" i="5" s="1"/>
  <c r="A24" i="5" s="1"/>
  <c r="A25" i="5" s="1"/>
  <c r="A22" i="4"/>
  <c r="A23" i="4" s="1"/>
  <c r="A24" i="4" s="1"/>
  <c r="A21" i="4"/>
  <c r="A22" i="3"/>
  <c r="A23" i="3" s="1"/>
  <c r="A24" i="3" s="1"/>
  <c r="A25" i="3" s="1"/>
  <c r="A23" i="2"/>
  <c r="A24" i="2" s="1"/>
  <c r="A25" i="2" s="1"/>
  <c r="A22" i="2"/>
  <c r="A23" i="1"/>
  <c r="A24" i="1" s="1"/>
  <c r="A25" i="1" s="1"/>
  <c r="A26" i="1" s="1"/>
</calcChain>
</file>

<file path=xl/sharedStrings.xml><?xml version="1.0" encoding="utf-8"?>
<sst xmlns="http://schemas.openxmlformats.org/spreadsheetml/2006/main" count="2464" uniqueCount="268">
  <si>
    <t xml:space="preserve">Tabel </t>
  </si>
  <si>
    <t xml:space="preserve">Banyaknya Realisasi Produksi, Ketersediaan, dan Kebutuhan Pangan </t>
  </si>
  <si>
    <t>14 Komoditas di Kabupaten Brebes Tahun 2025</t>
  </si>
  <si>
    <t>Komoditas</t>
  </si>
  <si>
    <t>Produksi (Ton)</t>
  </si>
  <si>
    <t>Ketersediaan (Ton)</t>
  </si>
  <si>
    <t>Kebutuhan (Ton)</t>
  </si>
  <si>
    <t>Persentase Ketersediaan (%)</t>
  </si>
  <si>
    <t>(1)</t>
  </si>
  <si>
    <t>(2)</t>
  </si>
  <si>
    <t>(3)</t>
  </si>
  <si>
    <t>(4)</t>
  </si>
  <si>
    <t>(5)</t>
  </si>
  <si>
    <t>01. Padi</t>
  </si>
  <si>
    <t>02. Jagung</t>
  </si>
  <si>
    <t>03. Kedelai</t>
  </si>
  <si>
    <t>04. Kacang Tanah</t>
  </si>
  <si>
    <t>05. Kacang Hijau</t>
  </si>
  <si>
    <t>06. Ubi Kayu</t>
  </si>
  <si>
    <t>07. Ubi Jalar</t>
  </si>
  <si>
    <t>08. Gula</t>
  </si>
  <si>
    <t>09. Cabai Merah</t>
  </si>
  <si>
    <t>10. Bawang Merah</t>
  </si>
  <si>
    <t>11. Daging</t>
  </si>
  <si>
    <t>12. Telur</t>
  </si>
  <si>
    <t>13. Susu</t>
  </si>
  <si>
    <t>14. Ikan</t>
  </si>
  <si>
    <t>Sumber: Dinas Pertanian dan Ketahanan Pangan Kab.Brebes</t>
  </si>
  <si>
    <t>Banyaknya Realisasi Produksi, Ketersediaan dan Kebutuhan Pangan</t>
  </si>
  <si>
    <t>Komoditas Padi Menurut Bulan</t>
  </si>
  <si>
    <t>di Kabupaten Brebes Tahun 2025</t>
  </si>
  <si>
    <t>Bulan</t>
  </si>
  <si>
    <t>Luas Panen (Ha)</t>
  </si>
  <si>
    <t>Perimbangan (+/-) (Ton)</t>
  </si>
  <si>
    <t>Stok Komulatif (Ton)</t>
  </si>
  <si>
    <t>(6)</t>
  </si>
  <si>
    <t>(7)</t>
  </si>
  <si>
    <t>01. JANUARI</t>
  </si>
  <si>
    <t>02. FEBRUARI</t>
  </si>
  <si>
    <t>03. MARET</t>
  </si>
  <si>
    <t>04. APRIL</t>
  </si>
  <si>
    <t>05. MEI</t>
  </si>
  <si>
    <t>06. JUNI</t>
  </si>
  <si>
    <t>07. JULI</t>
  </si>
  <si>
    <t>08. AGUSTUS</t>
  </si>
  <si>
    <t>09. SEPTEMBER</t>
  </si>
  <si>
    <t>10. OKTOBER</t>
  </si>
  <si>
    <t>11. NOVEMBER</t>
  </si>
  <si>
    <t>12. DESEMBER</t>
  </si>
  <si>
    <t>Tabel</t>
  </si>
  <si>
    <t>Komoditas Jagung Menurut Bulan</t>
  </si>
  <si>
    <t>Komoditas Kedelai Menurut Bulan di Kabupaten Brebes Tahun 2025</t>
  </si>
  <si>
    <t>Komoditas Kacang Tanah Menurut Bulan</t>
  </si>
  <si>
    <t>Komoditas Kacang Hijau Menurut Bulan</t>
  </si>
  <si>
    <t>Komoditas Ketela Pohon Menurut Bulan</t>
  </si>
  <si>
    <t>Perimbangan +/-</t>
  </si>
  <si>
    <t xml:space="preserve"> (Ton)</t>
  </si>
  <si>
    <t>Komoditas Ubi Jalar Menurut Bulan</t>
  </si>
  <si>
    <t>Komoditas Gula Menurut Bulan</t>
  </si>
  <si>
    <t>Komoditas Cabai Merah Menurut Bulan</t>
  </si>
  <si>
    <t>Komoditas Bawang Merah Menurut Bulan</t>
  </si>
  <si>
    <t>Luas Produksi Kelapa  dalam Perkebunan Rakyat</t>
  </si>
  <si>
    <t>Kabupaten Brebes Tahun 2025</t>
  </si>
  <si>
    <t>No.</t>
  </si>
  <si>
    <t>Kecamatan</t>
  </si>
  <si>
    <t>Luas Areal (Ha)</t>
  </si>
  <si>
    <t>Produksi</t>
  </si>
  <si>
    <t>Luas  Areal</t>
  </si>
  <si>
    <t>Luas Panen</t>
  </si>
  <si>
    <t>Produksi (ton)</t>
  </si>
  <si>
    <t>Rata-rata (ton/Ha)</t>
  </si>
  <si>
    <t>SALEM</t>
  </si>
  <si>
    <t>BANTARKAWUNG</t>
  </si>
  <si>
    <t>BUMIAYU</t>
  </si>
  <si>
    <t>PAGUYANGAN</t>
  </si>
  <si>
    <t>SIRAMPOG</t>
  </si>
  <si>
    <t>TONJONG</t>
  </si>
  <si>
    <t>LARANGAN</t>
  </si>
  <si>
    <t>KETANGGUNGAN</t>
  </si>
  <si>
    <t>BANJARHARJO</t>
  </si>
  <si>
    <t>LOSARI</t>
  </si>
  <si>
    <t>TANJUNG</t>
  </si>
  <si>
    <t>KERSANA</t>
  </si>
  <si>
    <t>BULAKAMBA</t>
  </si>
  <si>
    <t>WANASARI</t>
  </si>
  <si>
    <t>SONGGOM</t>
  </si>
  <si>
    <t>JATIBARANG</t>
  </si>
  <si>
    <t>BREBES</t>
  </si>
  <si>
    <t>Luas Produksi Kelapa Deres Perkebunan Rakyat</t>
  </si>
  <si>
    <t>Luas Produksi Kopi Robusta Perkebunan Rakyat</t>
  </si>
  <si>
    <t>Luas Produksi Kopi Arabika Perkebunan Rakyat</t>
  </si>
  <si>
    <t>Produksi (10n)</t>
  </si>
  <si>
    <t>Luas Produksi Cengkeh Perkebunan Rakyat</t>
  </si>
  <si>
    <t>Luas Produksi Kakao/Coklat Perkebunan Rakyat</t>
  </si>
  <si>
    <t>Luas Produksi Lada Perkebunan Rakyat</t>
  </si>
  <si>
    <t>Luas Produksi Aren Perkebunan Rakyat</t>
  </si>
  <si>
    <t>Luas Produksi Karet Perkebunan Rakyat</t>
  </si>
  <si>
    <t>Luas Produksi Asam Jawa Perkebunan Rakyat</t>
  </si>
  <si>
    <t>Luas Produksi Tebu Perkebunan Rakyat</t>
  </si>
  <si>
    <t>Luas Produksi Nilam Perkebunan Rakyat</t>
  </si>
  <si>
    <t>Tabel 1</t>
  </si>
  <si>
    <t>Luas Panen, Produksi dan Rata-Rata Produksi</t>
  </si>
  <si>
    <t>Di Kabupaten Brebes Tahun 2025</t>
  </si>
  <si>
    <t>Luas Tanaman (Ha)</t>
  </si>
  <si>
    <t>Luas Panen (pohon)</t>
  </si>
  <si>
    <t>Jumlah Produksi (ton)</t>
  </si>
  <si>
    <t>Rata-rata Produksi (kg/ph)</t>
  </si>
  <si>
    <t>Jumlah Konsumsi (ton)</t>
  </si>
  <si>
    <t>PADI SAWAH</t>
  </si>
  <si>
    <t>PADI LADANG</t>
  </si>
  <si>
    <t>JAGUNG</t>
  </si>
  <si>
    <t>KETELA POHON</t>
  </si>
  <si>
    <t>UBI JALAR</t>
  </si>
  <si>
    <t>KACANG HIJAU</t>
  </si>
  <si>
    <t>KEDELAI</t>
  </si>
  <si>
    <t>KACANG TANAH</t>
  </si>
  <si>
    <t>BAWANG MERAH</t>
  </si>
  <si>
    <t>BAWANG PUTIH</t>
  </si>
  <si>
    <t>BAWANG DAUN</t>
  </si>
  <si>
    <t>KENTANG</t>
  </si>
  <si>
    <t>KUBIS</t>
  </si>
  <si>
    <t>PETSAI</t>
  </si>
  <si>
    <t>WORTEL</t>
  </si>
  <si>
    <t>KACANG PANJANG</t>
  </si>
  <si>
    <t>CABAI BESAR</t>
  </si>
  <si>
    <t>CABAI RAWIT</t>
  </si>
  <si>
    <t>TOMAT</t>
  </si>
  <si>
    <t>TERONG</t>
  </si>
  <si>
    <t>BUNCIS</t>
  </si>
  <si>
    <t>KETIMUN</t>
  </si>
  <si>
    <t>LABU SIAM</t>
  </si>
  <si>
    <t>KANGKUNG</t>
  </si>
  <si>
    <t>PETAI</t>
  </si>
  <si>
    <t>MELINJO</t>
  </si>
  <si>
    <t>ALPOKAT</t>
  </si>
  <si>
    <t>MANGGA</t>
  </si>
  <si>
    <t>RAMBUTAN</t>
  </si>
  <si>
    <t>DURIAN</t>
  </si>
  <si>
    <t>PISANG</t>
  </si>
  <si>
    <t>MANGGIS</t>
  </si>
  <si>
    <t>NANGKA</t>
  </si>
  <si>
    <t>SAWO</t>
  </si>
  <si>
    <t>SIRSAK</t>
  </si>
  <si>
    <t>SUKUN</t>
  </si>
  <si>
    <t>Sumber/Source : Dinas Pertanian dan Ketahanan Pangan Kab. Brebes</t>
  </si>
  <si>
    <t>Luas Panen, Produksi dan Rata-Rata Produksi Padi Sawah</t>
  </si>
  <si>
    <t>Luas</t>
  </si>
  <si>
    <t xml:space="preserve">Jumlah </t>
  </si>
  <si>
    <t xml:space="preserve">Rata-rata </t>
  </si>
  <si>
    <t xml:space="preserve">Tanam </t>
  </si>
  <si>
    <t xml:space="preserve">Panen </t>
  </si>
  <si>
    <t xml:space="preserve">Produksi </t>
  </si>
  <si>
    <t xml:space="preserve">Konsumsi </t>
  </si>
  <si>
    <t>(ha)</t>
  </si>
  <si>
    <t>(ton)</t>
  </si>
  <si>
    <t>(kuintal/ha)</t>
  </si>
  <si>
    <t>( ton )</t>
  </si>
  <si>
    <t>01. SALEM</t>
  </si>
  <si>
    <t>02. BANTARKAWUNG</t>
  </si>
  <si>
    <t>03. BUMIAYU</t>
  </si>
  <si>
    <t>04. PAGUYANGAN</t>
  </si>
  <si>
    <t>05. SIRAMPOG</t>
  </si>
  <si>
    <t>06. TONJONG</t>
  </si>
  <si>
    <t>07. LARANGAN</t>
  </si>
  <si>
    <t>08. KETANGGUNGAN</t>
  </si>
  <si>
    <t>09. BANJARHARJO</t>
  </si>
  <si>
    <t>10. LOSARI</t>
  </si>
  <si>
    <t>11. TANJUNG</t>
  </si>
  <si>
    <t>12. KERSANA</t>
  </si>
  <si>
    <t>13. BULAKAMBA</t>
  </si>
  <si>
    <t>14. WANASARI</t>
  </si>
  <si>
    <t>15. SONGGOM</t>
  </si>
  <si>
    <t>16. JATIBARANG</t>
  </si>
  <si>
    <t>17. BREBES</t>
  </si>
  <si>
    <t>Jumlah 2025</t>
  </si>
  <si>
    <t>produksi GKG = Gabah kering giling</t>
  </si>
  <si>
    <t>Tabel 2</t>
  </si>
  <si>
    <t>Luas Panen, Produksi dan Rata-Rata Produksi Padi Ladang</t>
  </si>
  <si>
    <t xml:space="preserve">Komsumsi </t>
  </si>
  <si>
    <t>Tabel 3</t>
  </si>
  <si>
    <t>Luas Panen, Produksi dan Rata-Rata Produksi Jagung</t>
  </si>
  <si>
    <t>Tabel 4</t>
  </si>
  <si>
    <t>Luas Panen, Produksi dan Rata-Rata Produksi Ketela Pohon</t>
  </si>
  <si>
    <t>Tabel 5</t>
  </si>
  <si>
    <t>Luas Panen, Produksi dan Rata-Rata Produksi ubi jalar</t>
  </si>
  <si>
    <t>Tabel 6</t>
  </si>
  <si>
    <t>Luas Panen, Produksi dan Rata-Rata Produksi Kacang Hijau</t>
  </si>
  <si>
    <t>Tabel 7</t>
  </si>
  <si>
    <t>Luas Panen, Produksi dan Rata-Rata Produksi Kedelai</t>
  </si>
  <si>
    <t>Tabel 8</t>
  </si>
  <si>
    <t>Luas Panen, Produksi dan Rata-Rata Produksi Kacang Tanah</t>
  </si>
  <si>
    <t>Tabel 9</t>
  </si>
  <si>
    <t>Luas Panen, Produksi dan Rata-Rata Produksi Bawang Merah Produksi</t>
  </si>
  <si>
    <t>Tabel 10</t>
  </si>
  <si>
    <t>Luas Panen, Produksi dan Rata-Rata Produksi Bawang Putih</t>
  </si>
  <si>
    <t>Tabel 11</t>
  </si>
  <si>
    <t>Luas Panen, Produksi dan Rata-Rata Produksi Bawang Daun</t>
  </si>
  <si>
    <t>Tabel 12</t>
  </si>
  <si>
    <t>Luas Panen, Produksi dan Rata-Rata Produksi Kentang</t>
  </si>
  <si>
    <t>Tabel 13</t>
  </si>
  <si>
    <t>Luas Panen, Produksi dan Rata-Rata Produksi Kubis</t>
  </si>
  <si>
    <t>Tabel 14</t>
  </si>
  <si>
    <t>Luas Panen, Produksi dan Rata-Rata Produksi PetsaI</t>
  </si>
  <si>
    <t>Tabel 15</t>
  </si>
  <si>
    <t>Luas Panen, Produksi dan Rata-Rata Produksi Wortel</t>
  </si>
  <si>
    <t>Tabel 16</t>
  </si>
  <si>
    <t>Luas Panen, Produksi dan Rata-Rata Produksi Kacang Panjang</t>
  </si>
  <si>
    <t>Tabel 17</t>
  </si>
  <si>
    <t>Luas Panen, Produksi dan Rata-Rata Produksi Cabai Besar</t>
  </si>
  <si>
    <t>Tabel 18</t>
  </si>
  <si>
    <t>Luas Panen, Produksi dan Rata-Rata Produksi Cabe Rawit</t>
  </si>
  <si>
    <t>Tabel 19</t>
  </si>
  <si>
    <t>Luas Panen, Produksi dan Rata-Rata Produksi Tomat</t>
  </si>
  <si>
    <t>Tabel 20</t>
  </si>
  <si>
    <t>Luas Panen, Produksi dan Rata-Rata Produksi Terong</t>
  </si>
  <si>
    <t>Tabel 21</t>
  </si>
  <si>
    <t>Luas Panen, Produksi dan Rata-Rata Produksi Buncis</t>
  </si>
  <si>
    <t>Tabel 22</t>
  </si>
  <si>
    <t>Luas Panen, Produksi dan Rata-Rata Produksi Ketimun</t>
  </si>
  <si>
    <t>Tabel 23</t>
  </si>
  <si>
    <t>Luas Panen, Produksi dan Rata-Rata Produksi Labu Siam</t>
  </si>
  <si>
    <t>Tabel 24</t>
  </si>
  <si>
    <t>Luas Panen, Produksi dan Rata-Rata Produksi Kangkung</t>
  </si>
  <si>
    <t>Tabel 25</t>
  </si>
  <si>
    <t>Luas Panen, Produksi dan Rata-Rata Produksi Petai</t>
  </si>
  <si>
    <t>Tabel 26</t>
  </si>
  <si>
    <t>Luas Panen, Produksi dan Rata-Rata Produksi Melinjo</t>
  </si>
  <si>
    <t>Tabel 27</t>
  </si>
  <si>
    <t>Luas Panen, Produksi dan Rata-Rata Produksi Alpukat</t>
  </si>
  <si>
    <t>Tabel 28</t>
  </si>
  <si>
    <t>Luas Panen, Produksi dan Rata-Rata Produksi Mangga</t>
  </si>
  <si>
    <t>Tabel 29</t>
  </si>
  <si>
    <t>Luas Panen, Produksi dan Rata-Rata Produksi Rambutan</t>
  </si>
  <si>
    <t>Tabel 30</t>
  </si>
  <si>
    <t>Luas Panen, Produksi dan Rata-Rata Produksi Durian</t>
  </si>
  <si>
    <t>Tabel 31</t>
  </si>
  <si>
    <t>Luas Panen, Produksi dan Rata-Rata Produksi Pisang</t>
  </si>
  <si>
    <t>Tabel 32</t>
  </si>
  <si>
    <t>Luas Panen, Produksi dan Rata-Rata Produksi Manggis</t>
  </si>
  <si>
    <t>Tabel 33</t>
  </si>
  <si>
    <t>Luas Panen, Produksi dan Rata-Rata Produksi Nangka</t>
  </si>
  <si>
    <t>Tabel 34</t>
  </si>
  <si>
    <t>Luas Panen, Produksi dan Rata-Rata Produksi Sawo</t>
  </si>
  <si>
    <t>Tabel 35</t>
  </si>
  <si>
    <t>Luas Panen, Produksi dan Rata-Rata Produksi Sirsak</t>
  </si>
  <si>
    <t>Tabel 36</t>
  </si>
  <si>
    <t>Luas Panen, Produksi dan Rata-Rata Produksi Sukun</t>
  </si>
  <si>
    <t>TM</t>
  </si>
  <si>
    <t>asumsi kebutuhan jagung pipil dan jagung basah dengan kulit</t>
  </si>
  <si>
    <t>kebutuhan jagung</t>
  </si>
  <si>
    <t>kg</t>
  </si>
  <si>
    <t>ton</t>
  </si>
  <si>
    <t>Ton</t>
  </si>
  <si>
    <t>Kg</t>
  </si>
  <si>
    <t>jumlah penduduk 2025</t>
  </si>
  <si>
    <t>per-kapita</t>
  </si>
  <si>
    <t>jumlah penduduk</t>
  </si>
  <si>
    <t>-</t>
  </si>
  <si>
    <t>prod  (kw)</t>
  </si>
  <si>
    <t>Prod (kw)</t>
  </si>
  <si>
    <t>luas panen</t>
  </si>
  <si>
    <t>luas panen (pohon)</t>
  </si>
  <si>
    <t>produksi</t>
  </si>
  <si>
    <t>luas tanam</t>
  </si>
  <si>
    <t>mrt</t>
  </si>
  <si>
    <t>Juni</t>
  </si>
  <si>
    <t>Sept</t>
  </si>
  <si>
    <t>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</si>
</sst>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  <numFmt numFmtId="166" formatCode="_(* #,##0.00_);_(* \(#,##0.00\);_(* &quot;-&quot;??_);_(@_)"/>
    <numFmt numFmtId="167" formatCode="#,##0.0"/>
    <numFmt numFmtId="168" formatCode="_(* #,##0.0_);_(* \(#,##0.0\);_(* &quot;-&quot;_);_(@_)"/>
    <numFmt numFmtId="169" formatCode="_(* #,##0.0_);_(* \(#,##0.0\);_(* &quot;-&quot;??_);_(@_)"/>
    <numFmt numFmtId="170" formatCode="_(* #,##0_);_(* \(#,##0\);_(* &quot;-&quot;??_);_(@_)"/>
    <numFmt numFmtId="171" formatCode="_-* #,##0.00_-;\-* #,##0.00_-;_-* &quot;-&quot;??_-;_-@"/>
    <numFmt numFmtId="172" formatCode="0.0"/>
    <numFmt numFmtId="173" formatCode="0.0000"/>
    <numFmt numFmtId="174" formatCode="0.00000"/>
    <numFmt numFmtId="175" formatCode="_(* #,##0.000_);_(* \(#,##0.000\);_(* &quot;-&quot;??_);_(@_)"/>
    <numFmt numFmtId="176" formatCode="#,##0.000"/>
  </numFmts>
  <fonts count="5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mo"/>
    </font>
    <font>
      <sz val="12"/>
      <color theme="1"/>
      <name val="Arimo"/>
    </font>
    <font>
      <sz val="11"/>
      <color theme="1"/>
      <name val="Arial Narrow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Helvetica Neue"/>
    </font>
    <font>
      <sz val="11"/>
      <color theme="1"/>
      <name val="Helvetica Neue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rgb="FF111111"/>
      <name val="Inter"/>
    </font>
    <font>
      <sz val="11"/>
      <color rgb="FF111111"/>
      <name val="Inter"/>
    </font>
    <font>
      <sz val="11"/>
      <color rgb="FF111111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1B3"/>
        <bgColor rgb="FFFFE1B3"/>
      </patternFill>
    </fill>
    <fill>
      <patternFill patternType="solid">
        <fgColor rgb="FFB4FFB3"/>
        <bgColor rgb="FFB4FFB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BD5E1"/>
        <bgColor indexed="64"/>
      </patternFill>
    </fill>
  </fills>
  <borders count="9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indexed="64"/>
      </right>
      <top style="double">
        <color rgb="FF000000"/>
      </top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 style="hair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rgb="FF000000"/>
      </top>
      <bottom/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rgb="FFCBD5E1"/>
      </right>
      <top style="medium">
        <color rgb="FFCBD5E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9" fillId="0" borderId="12"/>
    <xf numFmtId="164" fontId="49" fillId="0" borderId="12" applyFont="0" applyFill="0" applyBorder="0" applyAlignment="0" applyProtection="0"/>
  </cellStyleXfs>
  <cellXfs count="443">
    <xf numFmtId="0" fontId="0" fillId="0" borderId="0" xfId="0" applyFont="1" applyAlignment="1"/>
    <xf numFmtId="0" fontId="6" fillId="0" borderId="0" xfId="0" applyFont="1"/>
    <xf numFmtId="0" fontId="7" fillId="0" borderId="0" xfId="0" applyFont="1"/>
    <xf numFmtId="0" fontId="6" fillId="2" borderId="3" xfId="0" quotePrefix="1" applyFont="1" applyFill="1" applyBorder="1" applyAlignment="1">
      <alignment horizontal="center"/>
    </xf>
    <xf numFmtId="164" fontId="9" fillId="0" borderId="0" xfId="0" applyNumberFormat="1" applyFont="1"/>
    <xf numFmtId="0" fontId="5" fillId="2" borderId="3" xfId="0" applyFont="1" applyFill="1" applyBorder="1"/>
    <xf numFmtId="165" fontId="11" fillId="0" borderId="3" xfId="0" applyNumberFormat="1" applyFont="1" applyBorder="1" applyAlignment="1">
      <alignment horizontal="center"/>
    </xf>
    <xf numFmtId="165" fontId="11" fillId="0" borderId="4" xfId="0" applyNumberFormat="1" applyFont="1" applyBorder="1"/>
    <xf numFmtId="0" fontId="5" fillId="0" borderId="3" xfId="0" applyFont="1" applyBorder="1"/>
    <xf numFmtId="165" fontId="10" fillId="0" borderId="3" xfId="0" applyNumberFormat="1" applyFont="1" applyBorder="1" applyAlignment="1">
      <alignment horizontal="right"/>
    </xf>
    <xf numFmtId="165" fontId="11" fillId="0" borderId="3" xfId="0" applyNumberFormat="1" applyFont="1" applyBorder="1"/>
    <xf numFmtId="165" fontId="11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5" fontId="12" fillId="0" borderId="3" xfId="0" applyNumberFormat="1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vertical="top" wrapText="1"/>
    </xf>
    <xf numFmtId="0" fontId="11" fillId="0" borderId="0" xfId="0" applyFont="1"/>
    <xf numFmtId="0" fontId="5" fillId="2" borderId="3" xfId="0" quotePrefix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5" fontId="11" fillId="0" borderId="0" xfId="0" applyNumberFormat="1" applyFont="1"/>
    <xf numFmtId="165" fontId="9" fillId="0" borderId="0" xfId="0" applyNumberFormat="1" applyFont="1"/>
    <xf numFmtId="166" fontId="9" fillId="0" borderId="0" xfId="0" applyNumberFormat="1" applyFont="1"/>
    <xf numFmtId="165" fontId="5" fillId="0" borderId="3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49" fontId="14" fillId="0" borderId="7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right"/>
    </xf>
    <xf numFmtId="49" fontId="15" fillId="0" borderId="7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right"/>
    </xf>
    <xf numFmtId="165" fontId="12" fillId="0" borderId="3" xfId="0" applyNumberFormat="1" applyFont="1" applyBorder="1" applyAlignment="1">
      <alignment horizontal="center"/>
    </xf>
    <xf numFmtId="165" fontId="12" fillId="0" borderId="4" xfId="0" applyNumberFormat="1" applyFont="1" applyBorder="1"/>
    <xf numFmtId="0" fontId="12" fillId="0" borderId="3" xfId="0" applyFont="1" applyBorder="1" applyAlignment="1">
      <alignment horizontal="right"/>
    </xf>
    <xf numFmtId="0" fontId="16" fillId="0" borderId="0" xfId="0" applyFont="1"/>
    <xf numFmtId="166" fontId="10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 wrapText="1"/>
    </xf>
    <xf numFmtId="4" fontId="12" fillId="0" borderId="0" xfId="0" applyNumberFormat="1" applyFont="1"/>
    <xf numFmtId="166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12" fillId="0" borderId="3" xfId="0" applyNumberFormat="1" applyFont="1" applyBorder="1"/>
    <xf numFmtId="4" fontId="10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5" fillId="0" borderId="8" xfId="0" applyNumberFormat="1" applyFont="1" applyBorder="1" applyAlignment="1">
      <alignment vertical="center"/>
    </xf>
    <xf numFmtId="165" fontId="12" fillId="0" borderId="0" xfId="0" applyNumberFormat="1" applyFont="1"/>
    <xf numFmtId="0" fontId="17" fillId="0" borderId="0" xfId="0" applyFont="1"/>
    <xf numFmtId="0" fontId="17" fillId="0" borderId="0" xfId="0" applyFont="1" applyAlignment="1">
      <alignment vertical="top" wrapText="1"/>
    </xf>
    <xf numFmtId="2" fontId="9" fillId="0" borderId="0" xfId="0" applyNumberFormat="1" applyFont="1"/>
    <xf numFmtId="0" fontId="18" fillId="2" borderId="9" xfId="0" applyFont="1" applyFill="1" applyBorder="1"/>
    <xf numFmtId="4" fontId="12" fillId="0" borderId="4" xfId="0" applyNumberFormat="1" applyFont="1" applyBorder="1"/>
    <xf numFmtId="4" fontId="12" fillId="0" borderId="3" xfId="0" applyNumberFormat="1" applyFont="1" applyBorder="1" applyAlignment="1">
      <alignment horizontal="right"/>
    </xf>
    <xf numFmtId="4" fontId="12" fillId="0" borderId="3" xfId="0" applyNumberFormat="1" applyFont="1" applyBorder="1" applyAlignment="1">
      <alignment horizontal="right" wrapText="1"/>
    </xf>
    <xf numFmtId="165" fontId="19" fillId="0" borderId="3" xfId="0" applyNumberFormat="1" applyFont="1" applyBorder="1"/>
    <xf numFmtId="0" fontId="5" fillId="2" borderId="3" xfId="0" applyFont="1" applyFill="1" applyBorder="1" applyAlignment="1">
      <alignment horizontal="center" wrapText="1"/>
    </xf>
    <xf numFmtId="165" fontId="20" fillId="0" borderId="3" xfId="0" applyNumberFormat="1" applyFont="1" applyBorder="1"/>
    <xf numFmtId="2" fontId="10" fillId="0" borderId="3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168" fontId="5" fillId="0" borderId="3" xfId="0" applyNumberFormat="1" applyFont="1" applyBorder="1" applyAlignment="1">
      <alignment horizontal="center"/>
    </xf>
    <xf numFmtId="168" fontId="5" fillId="0" borderId="3" xfId="0" applyNumberFormat="1" applyFont="1" applyBorder="1" applyAlignment="1">
      <alignment horizontal="right"/>
    </xf>
    <xf numFmtId="168" fontId="5" fillId="0" borderId="3" xfId="0" applyNumberFormat="1" applyFont="1" applyBorder="1"/>
    <xf numFmtId="165" fontId="5" fillId="0" borderId="3" xfId="0" applyNumberFormat="1" applyFont="1" applyBorder="1"/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2" borderId="3" xfId="0" quotePrefix="1" applyFont="1" applyFill="1" applyBorder="1" applyAlignment="1">
      <alignment horizontal="center" wrapText="1"/>
    </xf>
    <xf numFmtId="168" fontId="5" fillId="0" borderId="3" xfId="0" applyNumberFormat="1" applyFont="1" applyBorder="1" applyAlignment="1">
      <alignment horizontal="right" wrapText="1"/>
    </xf>
    <xf numFmtId="168" fontId="12" fillId="0" borderId="3" xfId="0" applyNumberFormat="1" applyFont="1" applyBorder="1" applyAlignment="1">
      <alignment wrapText="1"/>
    </xf>
    <xf numFmtId="165" fontId="12" fillId="0" borderId="3" xfId="0" applyNumberFormat="1" applyFont="1" applyBorder="1" applyAlignment="1">
      <alignment wrapText="1"/>
    </xf>
    <xf numFmtId="0" fontId="12" fillId="0" borderId="3" xfId="0" applyFont="1" applyBorder="1" applyAlignment="1">
      <alignment horizontal="right" wrapText="1"/>
    </xf>
    <xf numFmtId="0" fontId="9" fillId="2" borderId="9" xfId="0" applyFont="1" applyFill="1" applyBorder="1"/>
    <xf numFmtId="0" fontId="10" fillId="2" borderId="9" xfId="0" applyFont="1" applyFill="1" applyBorder="1"/>
    <xf numFmtId="0" fontId="10" fillId="2" borderId="9" xfId="0" applyFont="1" applyFill="1" applyBorder="1" applyAlignment="1">
      <alignment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left" vertical="center"/>
    </xf>
    <xf numFmtId="3" fontId="10" fillId="2" borderId="3" xfId="0" applyNumberFormat="1" applyFont="1" applyFill="1" applyBorder="1" applyAlignment="1">
      <alignment horizontal="right"/>
    </xf>
    <xf numFmtId="4" fontId="10" fillId="2" borderId="3" xfId="0" applyNumberFormat="1" applyFont="1" applyFill="1" applyBorder="1" applyAlignment="1">
      <alignment horizontal="right"/>
    </xf>
    <xf numFmtId="4" fontId="10" fillId="2" borderId="9" xfId="0" applyNumberFormat="1" applyFont="1" applyFill="1" applyBorder="1" applyAlignment="1">
      <alignment horizontal="right"/>
    </xf>
    <xf numFmtId="3" fontId="22" fillId="2" borderId="3" xfId="0" applyNumberFormat="1" applyFont="1" applyFill="1" applyBorder="1"/>
    <xf numFmtId="3" fontId="5" fillId="2" borderId="3" xfId="0" applyNumberFormat="1" applyFont="1" applyFill="1" applyBorder="1" applyAlignment="1">
      <alignment horizontal="right"/>
    </xf>
    <xf numFmtId="169" fontId="9" fillId="2" borderId="9" xfId="0" applyNumberFormat="1" applyFont="1" applyFill="1" applyBorder="1"/>
    <xf numFmtId="3" fontId="9" fillId="2" borderId="3" xfId="0" applyNumberFormat="1" applyFont="1" applyFill="1" applyBorder="1"/>
    <xf numFmtId="170" fontId="10" fillId="2" borderId="3" xfId="0" applyNumberFormat="1" applyFont="1" applyFill="1" applyBorder="1" applyAlignment="1">
      <alignment horizontal="right"/>
    </xf>
    <xf numFmtId="171" fontId="10" fillId="2" borderId="3" xfId="0" applyNumberFormat="1" applyFont="1" applyFill="1" applyBorder="1" applyAlignment="1">
      <alignment horizontal="right"/>
    </xf>
    <xf numFmtId="166" fontId="10" fillId="2" borderId="3" xfId="0" applyNumberFormat="1" applyFont="1" applyFill="1" applyBorder="1" applyAlignment="1">
      <alignment horizontal="right"/>
    </xf>
    <xf numFmtId="170" fontId="22" fillId="2" borderId="3" xfId="0" applyNumberFormat="1" applyFont="1" applyFill="1" applyBorder="1"/>
    <xf numFmtId="170" fontId="5" fillId="2" borderId="3" xfId="0" applyNumberFormat="1" applyFont="1" applyFill="1" applyBorder="1" applyAlignment="1">
      <alignment horizontal="right"/>
    </xf>
    <xf numFmtId="170" fontId="9" fillId="2" borderId="3" xfId="0" applyNumberFormat="1" applyFont="1" applyFill="1" applyBorder="1"/>
    <xf numFmtId="170" fontId="9" fillId="2" borderId="9" xfId="0" applyNumberFormat="1" applyFont="1" applyFill="1" applyBorder="1"/>
    <xf numFmtId="166" fontId="5" fillId="2" borderId="3" xfId="0" applyNumberFormat="1" applyFont="1" applyFill="1" applyBorder="1" applyAlignment="1">
      <alignment horizontal="right"/>
    </xf>
    <xf numFmtId="4" fontId="9" fillId="2" borderId="9" xfId="0" applyNumberFormat="1" applyFont="1" applyFill="1" applyBorder="1"/>
    <xf numFmtId="171" fontId="9" fillId="2" borderId="3" xfId="0" applyNumberFormat="1" applyFont="1" applyFill="1" applyBorder="1"/>
    <xf numFmtId="166" fontId="9" fillId="2" borderId="3" xfId="0" applyNumberFormat="1" applyFont="1" applyFill="1" applyBorder="1"/>
    <xf numFmtId="170" fontId="10" fillId="2" borderId="3" xfId="0" applyNumberFormat="1" applyFont="1" applyFill="1" applyBorder="1" applyAlignment="1">
      <alignment horizontal="right" vertical="center"/>
    </xf>
    <xf numFmtId="170" fontId="5" fillId="2" borderId="3" xfId="0" applyNumberFormat="1" applyFont="1" applyFill="1" applyBorder="1" applyAlignment="1">
      <alignment horizontal="right" vertical="center"/>
    </xf>
    <xf numFmtId="0" fontId="21" fillId="2" borderId="9" xfId="0" applyFont="1" applyFill="1" applyBorder="1"/>
    <xf numFmtId="170" fontId="9" fillId="2" borderId="3" xfId="0" applyNumberFormat="1" applyFont="1" applyFill="1" applyBorder="1" applyAlignment="1">
      <alignment vertical="center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center"/>
    </xf>
    <xf numFmtId="170" fontId="10" fillId="0" borderId="3" xfId="0" applyNumberFormat="1" applyFont="1" applyBorder="1" applyAlignment="1">
      <alignment horizontal="right"/>
    </xf>
    <xf numFmtId="170" fontId="5" fillId="0" borderId="3" xfId="0" applyNumberFormat="1" applyFont="1" applyBorder="1" applyAlignment="1">
      <alignment horizontal="right" wrapText="1"/>
    </xf>
    <xf numFmtId="170" fontId="9" fillId="0" borderId="0" xfId="0" applyNumberFormat="1" applyFont="1"/>
    <xf numFmtId="3" fontId="10" fillId="0" borderId="3" xfId="0" applyNumberFormat="1" applyFont="1" applyBorder="1" applyAlignment="1">
      <alignment horizontal="right"/>
    </xf>
    <xf numFmtId="171" fontId="10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/>
    <xf numFmtId="4" fontId="10" fillId="0" borderId="0" xfId="0" applyNumberFormat="1" applyFont="1" applyAlignment="1">
      <alignment horizontal="right"/>
    </xf>
    <xf numFmtId="170" fontId="5" fillId="0" borderId="3" xfId="0" applyNumberFormat="1" applyFont="1" applyBorder="1" applyAlignment="1">
      <alignment horizontal="right"/>
    </xf>
    <xf numFmtId="170" fontId="9" fillId="0" borderId="3" xfId="0" applyNumberFormat="1" applyFont="1" applyBorder="1"/>
    <xf numFmtId="171" fontId="10" fillId="0" borderId="3" xfId="0" applyNumberFormat="1" applyFont="1" applyBorder="1" applyAlignment="1">
      <alignment horizontal="right" vertical="center"/>
    </xf>
    <xf numFmtId="170" fontId="10" fillId="0" borderId="3" xfId="0" applyNumberFormat="1" applyFont="1" applyBorder="1" applyAlignment="1">
      <alignment horizontal="right" vertical="center"/>
    </xf>
    <xf numFmtId="166" fontId="23" fillId="0" borderId="3" xfId="0" applyNumberFormat="1" applyFont="1" applyBorder="1"/>
    <xf numFmtId="169" fontId="10" fillId="0" borderId="3" xfId="0" applyNumberFormat="1" applyFont="1" applyBorder="1" applyAlignment="1">
      <alignment horizontal="right"/>
    </xf>
    <xf numFmtId="0" fontId="24" fillId="0" borderId="3" xfId="0" applyFont="1" applyBorder="1"/>
    <xf numFmtId="0" fontId="26" fillId="2" borderId="9" xfId="0" applyFont="1" applyFill="1" applyBorder="1" applyAlignment="1">
      <alignment vertical="top"/>
    </xf>
    <xf numFmtId="170" fontId="26" fillId="2" borderId="9" xfId="0" applyNumberFormat="1" applyFont="1" applyFill="1" applyBorder="1" applyAlignment="1">
      <alignment vertical="top"/>
    </xf>
    <xf numFmtId="170" fontId="9" fillId="2" borderId="9" xfId="0" applyNumberFormat="1" applyFont="1" applyFill="1" applyBorder="1" applyAlignment="1">
      <alignment vertical="top"/>
    </xf>
    <xf numFmtId="166" fontId="9" fillId="2" borderId="9" xfId="0" applyNumberFormat="1" applyFont="1" applyFill="1" applyBorder="1" applyAlignment="1">
      <alignment vertical="top"/>
    </xf>
    <xf numFmtId="0" fontId="17" fillId="2" borderId="3" xfId="0" quotePrefix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top" wrapText="1"/>
    </xf>
    <xf numFmtId="3" fontId="27" fillId="0" borderId="3" xfId="0" applyNumberFormat="1" applyFont="1" applyBorder="1" applyAlignment="1">
      <alignment horizontal="right" vertical="center" wrapText="1"/>
    </xf>
    <xf numFmtId="0" fontId="27" fillId="0" borderId="3" xfId="0" applyFont="1" applyBorder="1" applyAlignment="1">
      <alignment horizontal="right" vertical="center" wrapText="1"/>
    </xf>
    <xf numFmtId="0" fontId="28" fillId="0" borderId="3" xfId="0" applyFont="1" applyBorder="1" applyAlignment="1">
      <alignment horizontal="right" vertical="center"/>
    </xf>
    <xf numFmtId="3" fontId="27" fillId="0" borderId="3" xfId="0" applyNumberFormat="1" applyFont="1" applyBorder="1" applyAlignment="1">
      <alignment horizontal="right" vertical="center"/>
    </xf>
    <xf numFmtId="3" fontId="28" fillId="0" borderId="3" xfId="0" applyNumberFormat="1" applyFont="1" applyBorder="1" applyAlignment="1">
      <alignment horizontal="right" vertical="center" wrapText="1"/>
    </xf>
    <xf numFmtId="0" fontId="28" fillId="0" borderId="3" xfId="0" applyFont="1" applyBorder="1" applyAlignment="1">
      <alignment horizontal="right" vertical="center" wrapText="1"/>
    </xf>
    <xf numFmtId="0" fontId="17" fillId="2" borderId="3" xfId="0" applyFont="1" applyFill="1" applyBorder="1" applyAlignment="1">
      <alignment vertical="top"/>
    </xf>
    <xf numFmtId="0" fontId="27" fillId="0" borderId="3" xfId="0" applyFont="1" applyBorder="1" applyAlignment="1">
      <alignment horizontal="right" vertical="center"/>
    </xf>
    <xf numFmtId="3" fontId="28" fillId="0" borderId="3" xfId="0" applyNumberFormat="1" applyFont="1" applyBorder="1" applyAlignment="1">
      <alignment horizontal="right" vertical="center"/>
    </xf>
    <xf numFmtId="3" fontId="27" fillId="3" borderId="3" xfId="0" applyNumberFormat="1" applyFont="1" applyFill="1" applyBorder="1" applyAlignment="1">
      <alignment horizontal="right" vertical="center"/>
    </xf>
    <xf numFmtId="0" fontId="27" fillId="3" borderId="3" xfId="0" applyFont="1" applyFill="1" applyBorder="1" applyAlignment="1">
      <alignment horizontal="right" vertical="center"/>
    </xf>
    <xf numFmtId="0" fontId="17" fillId="2" borderId="9" xfId="0" applyFont="1" applyFill="1" applyBorder="1" applyAlignment="1">
      <alignment vertical="top"/>
    </xf>
    <xf numFmtId="3" fontId="27" fillId="3" borderId="9" xfId="0" applyNumberFormat="1" applyFont="1" applyFill="1" applyBorder="1" applyAlignment="1">
      <alignment horizontal="right" vertical="center"/>
    </xf>
    <xf numFmtId="0" fontId="27" fillId="3" borderId="9" xfId="0" applyFont="1" applyFill="1" applyBorder="1" applyAlignment="1">
      <alignment horizontal="right" vertical="center"/>
    </xf>
    <xf numFmtId="0" fontId="28" fillId="3" borderId="9" xfId="0" applyFont="1" applyFill="1" applyBorder="1" applyAlignment="1">
      <alignment horizontal="right" vertical="center"/>
    </xf>
    <xf numFmtId="170" fontId="17" fillId="2" borderId="9" xfId="0" applyNumberFormat="1" applyFont="1" applyFill="1" applyBorder="1" applyAlignment="1">
      <alignment vertical="top"/>
    </xf>
    <xf numFmtId="0" fontId="9" fillId="2" borderId="9" xfId="0" applyFont="1" applyFill="1" applyBorder="1" applyAlignment="1">
      <alignment vertical="top"/>
    </xf>
    <xf numFmtId="0" fontId="30" fillId="2" borderId="9" xfId="0" applyFont="1" applyFill="1" applyBorder="1" applyAlignment="1">
      <alignment vertical="top"/>
    </xf>
    <xf numFmtId="170" fontId="30" fillId="2" borderId="9" xfId="0" applyNumberFormat="1" applyFont="1" applyFill="1" applyBorder="1" applyAlignment="1">
      <alignment vertical="top"/>
    </xf>
    <xf numFmtId="166" fontId="30" fillId="2" borderId="9" xfId="0" applyNumberFormat="1" applyFont="1" applyFill="1" applyBorder="1" applyAlignment="1">
      <alignment vertical="top"/>
    </xf>
    <xf numFmtId="170" fontId="17" fillId="2" borderId="16" xfId="0" applyNumberFormat="1" applyFont="1" applyFill="1" applyBorder="1" applyAlignment="1">
      <alignment horizontal="center" vertical="center"/>
    </xf>
    <xf numFmtId="166" fontId="17" fillId="2" borderId="16" xfId="0" applyNumberFormat="1" applyFont="1" applyFill="1" applyBorder="1" applyAlignment="1">
      <alignment horizontal="center" vertical="center"/>
    </xf>
    <xf numFmtId="170" fontId="17" fillId="2" borderId="17" xfId="0" applyNumberFormat="1" applyFont="1" applyFill="1" applyBorder="1" applyAlignment="1">
      <alignment horizontal="center" vertical="center"/>
    </xf>
    <xf numFmtId="170" fontId="17" fillId="2" borderId="19" xfId="0" applyNumberFormat="1" applyFont="1" applyFill="1" applyBorder="1" applyAlignment="1">
      <alignment horizontal="center" vertical="center"/>
    </xf>
    <xf numFmtId="166" fontId="17" fillId="2" borderId="19" xfId="0" applyNumberFormat="1" applyFont="1" applyFill="1" applyBorder="1" applyAlignment="1">
      <alignment horizontal="center" vertical="center"/>
    </xf>
    <xf numFmtId="170" fontId="17" fillId="2" borderId="20" xfId="0" applyNumberFormat="1" applyFont="1" applyFill="1" applyBorder="1" applyAlignment="1">
      <alignment horizontal="center" vertical="center"/>
    </xf>
    <xf numFmtId="170" fontId="17" fillId="2" borderId="22" xfId="0" applyNumberFormat="1" applyFont="1" applyFill="1" applyBorder="1" applyAlignment="1">
      <alignment horizontal="center" vertical="center"/>
    </xf>
    <xf numFmtId="166" fontId="17" fillId="2" borderId="22" xfId="0" applyNumberFormat="1" applyFont="1" applyFill="1" applyBorder="1" applyAlignment="1">
      <alignment horizontal="center" vertical="center"/>
    </xf>
    <xf numFmtId="170" fontId="17" fillId="2" borderId="23" xfId="0" applyNumberFormat="1" applyFont="1" applyFill="1" applyBorder="1" applyAlignment="1">
      <alignment horizontal="center" vertical="center" wrapText="1"/>
    </xf>
    <xf numFmtId="0" fontId="17" fillId="2" borderId="24" xfId="0" quotePrefix="1" applyFont="1" applyFill="1" applyBorder="1" applyAlignment="1">
      <alignment horizontal="center" vertical="center"/>
    </xf>
    <xf numFmtId="0" fontId="17" fillId="2" borderId="25" xfId="0" quotePrefix="1" applyFont="1" applyFill="1" applyBorder="1" applyAlignment="1">
      <alignment horizontal="center" vertical="center"/>
    </xf>
    <xf numFmtId="0" fontId="17" fillId="2" borderId="26" xfId="0" quotePrefix="1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vertical="top" wrapText="1"/>
    </xf>
    <xf numFmtId="170" fontId="17" fillId="2" borderId="28" xfId="0" applyNumberFormat="1" applyFont="1" applyFill="1" applyBorder="1" applyAlignment="1">
      <alignment vertical="top" wrapText="1"/>
    </xf>
    <xf numFmtId="170" fontId="9" fillId="2" borderId="28" xfId="0" applyNumberFormat="1" applyFont="1" applyFill="1" applyBorder="1" applyAlignment="1">
      <alignment vertical="top"/>
    </xf>
    <xf numFmtId="166" fontId="17" fillId="2" borderId="28" xfId="0" applyNumberFormat="1" applyFont="1" applyFill="1" applyBorder="1" applyAlignment="1">
      <alignment vertical="top" wrapText="1"/>
    </xf>
    <xf numFmtId="170" fontId="9" fillId="2" borderId="29" xfId="0" applyNumberFormat="1" applyFont="1" applyFill="1" applyBorder="1" applyAlignment="1">
      <alignment vertical="top"/>
    </xf>
    <xf numFmtId="0" fontId="17" fillId="2" borderId="30" xfId="0" applyFont="1" applyFill="1" applyBorder="1" applyAlignment="1">
      <alignment vertical="top" wrapText="1"/>
    </xf>
    <xf numFmtId="170" fontId="17" fillId="2" borderId="31" xfId="0" applyNumberFormat="1" applyFont="1" applyFill="1" applyBorder="1" applyAlignment="1">
      <alignment vertical="top" wrapText="1"/>
    </xf>
    <xf numFmtId="170" fontId="9" fillId="2" borderId="31" xfId="0" applyNumberFormat="1" applyFont="1" applyFill="1" applyBorder="1" applyAlignment="1">
      <alignment vertical="top"/>
    </xf>
    <xf numFmtId="170" fontId="25" fillId="2" borderId="32" xfId="0" applyNumberFormat="1" applyFont="1" applyFill="1" applyBorder="1" applyAlignment="1">
      <alignment vertical="top" wrapText="1"/>
    </xf>
    <xf numFmtId="170" fontId="17" fillId="2" borderId="33" xfId="0" applyNumberFormat="1" applyFont="1" applyFill="1" applyBorder="1" applyAlignment="1">
      <alignment vertical="top" wrapText="1"/>
    </xf>
    <xf numFmtId="170" fontId="9" fillId="2" borderId="35" xfId="0" applyNumberFormat="1" applyFont="1" applyFill="1" applyBorder="1" applyAlignment="1">
      <alignment vertical="top"/>
    </xf>
    <xf numFmtId="170" fontId="17" fillId="2" borderId="35" xfId="0" applyNumberFormat="1" applyFont="1" applyFill="1" applyBorder="1" applyAlignment="1">
      <alignment vertical="top" wrapText="1"/>
    </xf>
    <xf numFmtId="166" fontId="17" fillId="2" borderId="35" xfId="0" applyNumberFormat="1" applyFont="1" applyFill="1" applyBorder="1" applyAlignment="1">
      <alignment vertical="top" wrapText="1"/>
    </xf>
    <xf numFmtId="170" fontId="17" fillId="2" borderId="36" xfId="0" applyNumberFormat="1" applyFont="1" applyFill="1" applyBorder="1" applyAlignment="1">
      <alignment vertical="top" wrapText="1"/>
    </xf>
    <xf numFmtId="0" fontId="17" fillId="2" borderId="37" xfId="0" applyFont="1" applyFill="1" applyBorder="1" applyAlignment="1">
      <alignment vertical="top" wrapText="1"/>
    </xf>
    <xf numFmtId="0" fontId="17" fillId="2" borderId="38" xfId="0" applyFont="1" applyFill="1" applyBorder="1" applyAlignment="1">
      <alignment vertical="top" wrapText="1"/>
    </xf>
    <xf numFmtId="170" fontId="17" fillId="2" borderId="39" xfId="0" applyNumberFormat="1" applyFont="1" applyFill="1" applyBorder="1" applyAlignment="1">
      <alignment vertical="top" wrapText="1"/>
    </xf>
    <xf numFmtId="170" fontId="9" fillId="2" borderId="39" xfId="0" applyNumberFormat="1" applyFont="1" applyFill="1" applyBorder="1" applyAlignment="1">
      <alignment vertical="top"/>
    </xf>
    <xf numFmtId="166" fontId="17" fillId="2" borderId="39" xfId="0" applyNumberFormat="1" applyFont="1" applyFill="1" applyBorder="1" applyAlignment="1">
      <alignment vertical="top" wrapText="1"/>
    </xf>
    <xf numFmtId="170" fontId="17" fillId="2" borderId="40" xfId="0" applyNumberFormat="1" applyFont="1" applyFill="1" applyBorder="1" applyAlignment="1">
      <alignment vertical="top" wrapText="1"/>
    </xf>
    <xf numFmtId="0" fontId="29" fillId="2" borderId="9" xfId="0" applyFont="1" applyFill="1" applyBorder="1" applyAlignment="1">
      <alignment vertical="top"/>
    </xf>
    <xf numFmtId="170" fontId="29" fillId="2" borderId="9" xfId="0" applyNumberFormat="1" applyFont="1" applyFill="1" applyBorder="1" applyAlignment="1">
      <alignment vertical="top"/>
    </xf>
    <xf numFmtId="166" fontId="9" fillId="2" borderId="28" xfId="0" applyNumberFormat="1" applyFont="1" applyFill="1" applyBorder="1" applyAlignment="1">
      <alignment vertical="top"/>
    </xf>
    <xf numFmtId="170" fontId="17" fillId="2" borderId="29" xfId="0" applyNumberFormat="1" applyFont="1" applyFill="1" applyBorder="1" applyAlignment="1">
      <alignment vertical="top" wrapText="1"/>
    </xf>
    <xf numFmtId="0" fontId="17" fillId="2" borderId="42" xfId="0" applyFont="1" applyFill="1" applyBorder="1" applyAlignment="1">
      <alignment vertical="top" wrapText="1"/>
    </xf>
    <xf numFmtId="170" fontId="17" fillId="2" borderId="43" xfId="0" applyNumberFormat="1" applyFont="1" applyFill="1" applyBorder="1" applyAlignment="1">
      <alignment vertical="top" wrapText="1"/>
    </xf>
    <xf numFmtId="170" fontId="9" fillId="2" borderId="43" xfId="0" applyNumberFormat="1" applyFont="1" applyFill="1" applyBorder="1" applyAlignment="1">
      <alignment vertical="top"/>
    </xf>
    <xf numFmtId="170" fontId="9" fillId="2" borderId="44" xfId="0" applyNumberFormat="1" applyFont="1" applyFill="1" applyBorder="1" applyAlignment="1">
      <alignment vertical="top"/>
    </xf>
    <xf numFmtId="170" fontId="17" fillId="2" borderId="32" xfId="0" applyNumberFormat="1" applyFont="1" applyFill="1" applyBorder="1" applyAlignment="1">
      <alignment vertical="top" wrapText="1"/>
    </xf>
    <xf numFmtId="166" fontId="9" fillId="2" borderId="33" xfId="0" applyNumberFormat="1" applyFont="1" applyFill="1" applyBorder="1" applyAlignment="1">
      <alignment vertical="top"/>
    </xf>
    <xf numFmtId="170" fontId="9" fillId="2" borderId="34" xfId="0" applyNumberFormat="1" applyFont="1" applyFill="1" applyBorder="1" applyAlignment="1">
      <alignment vertical="top"/>
    </xf>
    <xf numFmtId="16" fontId="10" fillId="0" borderId="0" xfId="0" quotePrefix="1" applyNumberFormat="1" applyFont="1"/>
    <xf numFmtId="0" fontId="5" fillId="0" borderId="4" xfId="0" applyFont="1" applyBorder="1"/>
    <xf numFmtId="0" fontId="5" fillId="2" borderId="1" xfId="0" quotePrefix="1" applyFont="1" applyFill="1" applyBorder="1" applyAlignment="1">
      <alignment horizontal="center"/>
    </xf>
    <xf numFmtId="165" fontId="5" fillId="0" borderId="14" xfId="0" applyNumberFormat="1" applyFont="1" applyBorder="1" applyAlignment="1">
      <alignment horizontal="right"/>
    </xf>
    <xf numFmtId="170" fontId="31" fillId="0" borderId="45" xfId="0" applyNumberFormat="1" applyFont="1" applyBorder="1"/>
    <xf numFmtId="0" fontId="31" fillId="0" borderId="45" xfId="0" applyFont="1" applyBorder="1"/>
    <xf numFmtId="169" fontId="31" fillId="0" borderId="45" xfId="0" applyNumberFormat="1" applyFont="1" applyBorder="1"/>
    <xf numFmtId="165" fontId="33" fillId="0" borderId="45" xfId="1" applyNumberFormat="1" applyFont="1" applyBorder="1" applyAlignment="1">
      <alignment horizontal="right"/>
    </xf>
    <xf numFmtId="165" fontId="34" fillId="4" borderId="45" xfId="1" applyNumberFormat="1" applyFont="1" applyFill="1" applyBorder="1" applyAlignment="1">
      <alignment horizontal="right"/>
    </xf>
    <xf numFmtId="165" fontId="33" fillId="0" borderId="45" xfId="0" applyNumberFormat="1" applyFont="1" applyBorder="1" applyAlignment="1">
      <alignment horizontal="right"/>
    </xf>
    <xf numFmtId="165" fontId="33" fillId="0" borderId="45" xfId="1" applyNumberFormat="1" applyFont="1" applyBorder="1"/>
    <xf numFmtId="170" fontId="35" fillId="5" borderId="3" xfId="0" applyNumberFormat="1" applyFont="1" applyFill="1" applyBorder="1" applyAlignment="1">
      <alignment horizontal="right"/>
    </xf>
    <xf numFmtId="170" fontId="35" fillId="6" borderId="3" xfId="0" applyNumberFormat="1" applyFont="1" applyFill="1" applyBorder="1" applyAlignment="1">
      <alignment horizontal="right"/>
    </xf>
    <xf numFmtId="4" fontId="5" fillId="0" borderId="14" xfId="0" applyNumberFormat="1" applyFont="1" applyBorder="1" applyAlignment="1">
      <alignment vertical="center"/>
    </xf>
    <xf numFmtId="41" fontId="31" fillId="0" borderId="45" xfId="1" applyFont="1" applyBorder="1"/>
    <xf numFmtId="164" fontId="10" fillId="2" borderId="3" xfId="0" applyNumberFormat="1" applyFont="1" applyFill="1" applyBorder="1" applyAlignment="1">
      <alignment horizontal="right"/>
    </xf>
    <xf numFmtId="3" fontId="37" fillId="2" borderId="3" xfId="0" applyNumberFormat="1" applyFont="1" applyFill="1" applyBorder="1" applyAlignment="1">
      <alignment horizontal="right"/>
    </xf>
    <xf numFmtId="170" fontId="37" fillId="2" borderId="3" xfId="0" applyNumberFormat="1" applyFont="1" applyFill="1" applyBorder="1" applyAlignment="1">
      <alignment horizontal="right"/>
    </xf>
    <xf numFmtId="4" fontId="37" fillId="2" borderId="3" xfId="0" applyNumberFormat="1" applyFont="1" applyFill="1" applyBorder="1" applyAlignment="1">
      <alignment horizontal="right"/>
    </xf>
    <xf numFmtId="170" fontId="36" fillId="2" borderId="3" xfId="0" applyNumberFormat="1" applyFont="1" applyFill="1" applyBorder="1"/>
    <xf numFmtId="171" fontId="37" fillId="2" borderId="3" xfId="0" applyNumberFormat="1" applyFont="1" applyFill="1" applyBorder="1" applyAlignment="1">
      <alignment horizontal="right"/>
    </xf>
    <xf numFmtId="166" fontId="37" fillId="2" borderId="3" xfId="0" applyNumberFormat="1" applyFont="1" applyFill="1" applyBorder="1" applyAlignment="1">
      <alignment horizontal="right"/>
    </xf>
    <xf numFmtId="171" fontId="36" fillId="2" borderId="3" xfId="0" applyNumberFormat="1" applyFont="1" applyFill="1" applyBorder="1"/>
    <xf numFmtId="166" fontId="36" fillId="2" borderId="3" xfId="0" applyNumberFormat="1" applyFont="1" applyFill="1" applyBorder="1"/>
    <xf numFmtId="170" fontId="37" fillId="2" borderId="3" xfId="0" applyNumberFormat="1" applyFont="1" applyFill="1" applyBorder="1" applyAlignment="1">
      <alignment horizontal="right" vertical="center"/>
    </xf>
    <xf numFmtId="170" fontId="36" fillId="2" borderId="3" xfId="0" applyNumberFormat="1" applyFont="1" applyFill="1" applyBorder="1" applyAlignment="1">
      <alignment vertical="center"/>
    </xf>
    <xf numFmtId="3" fontId="37" fillId="2" borderId="3" xfId="0" applyNumberFormat="1" applyFont="1" applyFill="1" applyBorder="1" applyAlignment="1">
      <alignment horizontal="right" wrapText="1"/>
    </xf>
    <xf numFmtId="3" fontId="36" fillId="2" borderId="3" xfId="0" applyNumberFormat="1" applyFont="1" applyFill="1" applyBorder="1"/>
    <xf numFmtId="170" fontId="37" fillId="0" borderId="3" xfId="0" applyNumberFormat="1" applyFont="1" applyBorder="1" applyAlignment="1">
      <alignment horizontal="right" wrapText="1"/>
    </xf>
    <xf numFmtId="171" fontId="37" fillId="0" borderId="3" xfId="0" applyNumberFormat="1" applyFont="1" applyBorder="1" applyAlignment="1">
      <alignment horizontal="right" wrapText="1"/>
    </xf>
    <xf numFmtId="3" fontId="37" fillId="0" borderId="3" xfId="0" applyNumberFormat="1" applyFont="1" applyBorder="1" applyAlignment="1">
      <alignment horizontal="right"/>
    </xf>
    <xf numFmtId="3" fontId="36" fillId="0" borderId="3" xfId="0" applyNumberFormat="1" applyFont="1" applyBorder="1" applyAlignment="1">
      <alignment horizontal="right"/>
    </xf>
    <xf numFmtId="170" fontId="37" fillId="0" borderId="3" xfId="0" applyNumberFormat="1" applyFont="1" applyBorder="1" applyAlignment="1">
      <alignment horizontal="right"/>
    </xf>
    <xf numFmtId="171" fontId="37" fillId="0" borderId="3" xfId="0" applyNumberFormat="1" applyFont="1" applyBorder="1" applyAlignment="1">
      <alignment horizontal="right"/>
    </xf>
    <xf numFmtId="170" fontId="36" fillId="0" borderId="3" xfId="0" applyNumberFormat="1" applyFont="1" applyBorder="1"/>
    <xf numFmtId="171" fontId="36" fillId="0" borderId="3" xfId="0" applyNumberFormat="1" applyFont="1" applyBorder="1"/>
    <xf numFmtId="166" fontId="17" fillId="2" borderId="20" xfId="0" applyNumberFormat="1" applyFont="1" applyFill="1" applyBorder="1" applyAlignment="1">
      <alignment horizontal="center" vertical="center"/>
    </xf>
    <xf numFmtId="166" fontId="17" fillId="2" borderId="29" xfId="0" applyNumberFormat="1" applyFont="1" applyFill="1" applyBorder="1" applyAlignment="1">
      <alignment vertical="top" wrapText="1"/>
    </xf>
    <xf numFmtId="166" fontId="17" fillId="2" borderId="41" xfId="0" applyNumberFormat="1" applyFont="1" applyFill="1" applyBorder="1" applyAlignment="1">
      <alignment vertical="top" wrapText="1"/>
    </xf>
    <xf numFmtId="166" fontId="17" fillId="2" borderId="40" xfId="0" applyNumberFormat="1" applyFont="1" applyFill="1" applyBorder="1" applyAlignment="1">
      <alignment vertical="top" wrapText="1"/>
    </xf>
    <xf numFmtId="170" fontId="9" fillId="2" borderId="46" xfId="0" applyNumberFormat="1" applyFont="1" applyFill="1" applyBorder="1" applyAlignment="1">
      <alignment vertical="top"/>
    </xf>
    <xf numFmtId="170" fontId="17" fillId="2" borderId="46" xfId="0" applyNumberFormat="1" applyFont="1" applyFill="1" applyBorder="1" applyAlignment="1">
      <alignment vertical="top" wrapText="1"/>
    </xf>
    <xf numFmtId="166" fontId="9" fillId="2" borderId="29" xfId="0" applyNumberFormat="1" applyFont="1" applyFill="1" applyBorder="1" applyAlignment="1">
      <alignment vertical="top"/>
    </xf>
    <xf numFmtId="170" fontId="17" fillId="2" borderId="47" xfId="0" applyNumberFormat="1" applyFont="1" applyFill="1" applyBorder="1" applyAlignment="1">
      <alignment vertical="top" wrapText="1"/>
    </xf>
    <xf numFmtId="0" fontId="17" fillId="2" borderId="49" xfId="0" quotePrefix="1" applyFont="1" applyFill="1" applyBorder="1" applyAlignment="1">
      <alignment horizontal="center" vertical="center"/>
    </xf>
    <xf numFmtId="0" fontId="17" fillId="2" borderId="50" xfId="0" quotePrefix="1" applyFont="1" applyFill="1" applyBorder="1" applyAlignment="1">
      <alignment horizontal="center" vertical="center"/>
    </xf>
    <xf numFmtId="170" fontId="17" fillId="2" borderId="51" xfId="0" applyNumberFormat="1" applyFont="1" applyFill="1" applyBorder="1" applyAlignment="1">
      <alignment horizontal="center" vertical="center" wrapText="1"/>
    </xf>
    <xf numFmtId="170" fontId="17" fillId="2" borderId="51" xfId="0" applyNumberFormat="1" applyFont="1" applyFill="1" applyBorder="1" applyAlignment="1">
      <alignment horizontal="center" vertical="center"/>
    </xf>
    <xf numFmtId="166" fontId="9" fillId="2" borderId="52" xfId="0" applyNumberFormat="1" applyFont="1" applyFill="1" applyBorder="1" applyAlignment="1">
      <alignment vertical="top"/>
    </xf>
    <xf numFmtId="170" fontId="9" fillId="2" borderId="52" xfId="0" applyNumberFormat="1" applyFont="1" applyFill="1" applyBorder="1" applyAlignment="1">
      <alignment vertical="top"/>
    </xf>
    <xf numFmtId="170" fontId="17" fillId="2" borderId="48" xfId="0" applyNumberFormat="1" applyFont="1" applyFill="1" applyBorder="1" applyAlignment="1">
      <alignment vertical="top" wrapText="1"/>
    </xf>
    <xf numFmtId="165" fontId="31" fillId="0" borderId="45" xfId="1" applyNumberFormat="1" applyFont="1" applyBorder="1" applyAlignment="1">
      <alignment horizontal="center"/>
    </xf>
    <xf numFmtId="164" fontId="11" fillId="0" borderId="4" xfId="0" applyNumberFormat="1" applyFont="1" applyBorder="1"/>
    <xf numFmtId="165" fontId="37" fillId="0" borderId="45" xfId="1" applyNumberFormat="1" applyFont="1" applyBorder="1" applyAlignment="1">
      <alignment horizontal="right" wrapText="1"/>
    </xf>
    <xf numFmtId="0" fontId="5" fillId="0" borderId="53" xfId="0" applyFont="1" applyBorder="1"/>
    <xf numFmtId="0" fontId="5" fillId="0" borderId="54" xfId="0" applyFont="1" applyBorder="1" applyAlignment="1">
      <alignment horizontal="right"/>
    </xf>
    <xf numFmtId="165" fontId="11" fillId="0" borderId="8" xfId="0" applyNumberFormat="1" applyFont="1" applyBorder="1"/>
    <xf numFmtId="4" fontId="12" fillId="0" borderId="12" xfId="0" applyNumberFormat="1" applyFont="1" applyBorder="1"/>
    <xf numFmtId="166" fontId="5" fillId="0" borderId="14" xfId="0" applyNumberFormat="1" applyFont="1" applyBorder="1" applyAlignment="1">
      <alignment horizontal="right"/>
    </xf>
    <xf numFmtId="4" fontId="5" fillId="0" borderId="45" xfId="0" applyNumberFormat="1" applyFont="1" applyBorder="1" applyAlignment="1">
      <alignment vertical="center"/>
    </xf>
    <xf numFmtId="1" fontId="31" fillId="0" borderId="45" xfId="0" applyNumberFormat="1" applyFont="1" applyBorder="1"/>
    <xf numFmtId="4" fontId="37" fillId="0" borderId="45" xfId="0" applyNumberFormat="1" applyFont="1" applyBorder="1" applyAlignment="1">
      <alignment horizontal="right" wrapText="1"/>
    </xf>
    <xf numFmtId="165" fontId="38" fillId="0" borderId="3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3" fontId="39" fillId="0" borderId="45" xfId="0" applyNumberFormat="1" applyFont="1" applyBorder="1" applyAlignment="1">
      <alignment horizontal="right" vertical="center"/>
    </xf>
    <xf numFmtId="165" fontId="37" fillId="0" borderId="45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right"/>
    </xf>
    <xf numFmtId="164" fontId="9" fillId="0" borderId="8" xfId="0" applyNumberFormat="1" applyFont="1" applyBorder="1"/>
    <xf numFmtId="168" fontId="5" fillId="0" borderId="13" xfId="0" applyNumberFormat="1" applyFont="1" applyBorder="1" applyAlignment="1">
      <alignment horizontal="right" wrapText="1"/>
    </xf>
    <xf numFmtId="0" fontId="5" fillId="2" borderId="1" xfId="0" quotePrefix="1" applyFont="1" applyFill="1" applyBorder="1" applyAlignment="1">
      <alignment horizontal="center" wrapText="1"/>
    </xf>
    <xf numFmtId="168" fontId="5" fillId="0" borderId="14" xfId="0" applyNumberFormat="1" applyFont="1" applyBorder="1" applyAlignment="1">
      <alignment horizontal="right" wrapText="1"/>
    </xf>
    <xf numFmtId="165" fontId="12" fillId="0" borderId="14" xfId="0" applyNumberFormat="1" applyFont="1" applyBorder="1" applyAlignment="1">
      <alignment horizontal="right" wrapText="1"/>
    </xf>
    <xf numFmtId="168" fontId="5" fillId="0" borderId="45" xfId="0" applyNumberFormat="1" applyFont="1" applyBorder="1" applyAlignment="1">
      <alignment horizontal="right" wrapText="1"/>
    </xf>
    <xf numFmtId="168" fontId="5" fillId="0" borderId="14" xfId="0" applyNumberFormat="1" applyFont="1" applyBorder="1" applyAlignment="1">
      <alignment horizontal="center"/>
    </xf>
    <xf numFmtId="164" fontId="31" fillId="0" borderId="45" xfId="0" applyNumberFormat="1" applyFont="1" applyBorder="1"/>
    <xf numFmtId="165" fontId="37" fillId="0" borderId="45" xfId="1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4" fontId="37" fillId="0" borderId="45" xfId="1" applyNumberFormat="1" applyFont="1" applyBorder="1" applyAlignment="1">
      <alignment horizontal="right"/>
    </xf>
    <xf numFmtId="4" fontId="37" fillId="0" borderId="45" xfId="1" applyNumberFormat="1" applyFont="1" applyBorder="1" applyAlignment="1">
      <alignment horizontal="right" wrapText="1"/>
    </xf>
    <xf numFmtId="4" fontId="37" fillId="0" borderId="45" xfId="0" applyNumberFormat="1" applyFont="1" applyBorder="1" applyAlignment="1">
      <alignment horizontal="right"/>
    </xf>
    <xf numFmtId="4" fontId="31" fillId="0" borderId="55" xfId="1" applyNumberFormat="1" applyFont="1" applyBorder="1"/>
    <xf numFmtId="4" fontId="5" fillId="0" borderId="56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horizontal="right"/>
    </xf>
    <xf numFmtId="4" fontId="31" fillId="0" borderId="13" xfId="0" applyNumberFormat="1" applyFont="1" applyBorder="1"/>
    <xf numFmtId="168" fontId="31" fillId="0" borderId="45" xfId="0" applyNumberFormat="1" applyFont="1" applyBorder="1"/>
    <xf numFmtId="165" fontId="37" fillId="0" borderId="45" xfId="0" applyNumberFormat="1" applyFont="1" applyBorder="1" applyAlignment="1">
      <alignment horizontal="right"/>
    </xf>
    <xf numFmtId="164" fontId="37" fillId="0" borderId="45" xfId="0" applyNumberFormat="1" applyFont="1" applyBorder="1" applyAlignment="1">
      <alignment horizontal="right"/>
    </xf>
    <xf numFmtId="172" fontId="31" fillId="0" borderId="45" xfId="0" applyNumberFormat="1" applyFont="1" applyBorder="1"/>
    <xf numFmtId="165" fontId="40" fillId="0" borderId="45" xfId="1" applyNumberFormat="1" applyFont="1" applyBorder="1"/>
    <xf numFmtId="165" fontId="31" fillId="0" borderId="45" xfId="1" applyNumberFormat="1" applyFont="1" applyBorder="1"/>
    <xf numFmtId="165" fontId="41" fillId="0" borderId="45" xfId="1" applyNumberFormat="1" applyFont="1" applyBorder="1"/>
    <xf numFmtId="0" fontId="0" fillId="0" borderId="0" xfId="0" applyFont="1" applyAlignment="1"/>
    <xf numFmtId="0" fontId="5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/>
    <xf numFmtId="170" fontId="37" fillId="4" borderId="45" xfId="2" applyNumberFormat="1" applyFont="1" applyFill="1" applyBorder="1" applyAlignment="1">
      <alignment horizontal="right"/>
    </xf>
    <xf numFmtId="166" fontId="10" fillId="2" borderId="3" xfId="0" applyNumberFormat="1" applyFont="1" applyFill="1" applyBorder="1" applyAlignment="1">
      <alignment horizontal="right" vertical="center"/>
    </xf>
    <xf numFmtId="43" fontId="37" fillId="4" borderId="45" xfId="2" applyFont="1" applyFill="1" applyBorder="1" applyAlignment="1">
      <alignment horizontal="right"/>
    </xf>
    <xf numFmtId="166" fontId="5" fillId="2" borderId="3" xfId="0" applyNumberFormat="1" applyFont="1" applyFill="1" applyBorder="1" applyAlignment="1">
      <alignment horizontal="right" vertical="center"/>
    </xf>
    <xf numFmtId="3" fontId="37" fillId="4" borderId="45" xfId="0" applyNumberFormat="1" applyFont="1" applyFill="1" applyBorder="1" applyAlignment="1">
      <alignment horizontal="right"/>
    </xf>
    <xf numFmtId="0" fontId="36" fillId="2" borderId="9" xfId="0" applyFont="1" applyFill="1" applyBorder="1"/>
    <xf numFmtId="1" fontId="0" fillId="0" borderId="0" xfId="0" applyNumberFormat="1" applyFont="1" applyAlignment="1"/>
    <xf numFmtId="3" fontId="10" fillId="2" borderId="12" xfId="0" applyNumberFormat="1" applyFont="1" applyFill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1" fontId="9" fillId="2" borderId="9" xfId="0" applyNumberFormat="1" applyFont="1" applyFill="1" applyBorder="1"/>
    <xf numFmtId="4" fontId="0" fillId="0" borderId="0" xfId="0" applyNumberFormat="1" applyFont="1" applyAlignment="1"/>
    <xf numFmtId="3" fontId="0" fillId="0" borderId="0" xfId="0" applyNumberFormat="1" applyFont="1" applyAlignment="1"/>
    <xf numFmtId="3" fontId="9" fillId="2" borderId="9" xfId="0" applyNumberFormat="1" applyFont="1" applyFill="1" applyBorder="1"/>
    <xf numFmtId="3" fontId="10" fillId="2" borderId="9" xfId="0" applyNumberFormat="1" applyFont="1" applyFill="1" applyBorder="1" applyAlignment="1">
      <alignment horizontal="right" vertical="center"/>
    </xf>
    <xf numFmtId="4" fontId="5" fillId="2" borderId="3" xfId="0" applyNumberFormat="1" applyFont="1" applyFill="1" applyBorder="1" applyAlignment="1">
      <alignment horizontal="right" wrapText="1"/>
    </xf>
    <xf numFmtId="0" fontId="4" fillId="0" borderId="0" xfId="0" applyFont="1" applyAlignment="1"/>
    <xf numFmtId="0" fontId="34" fillId="2" borderId="10" xfId="0" applyFont="1" applyFill="1" applyBorder="1" applyAlignment="1">
      <alignment horizontal="center" wrapText="1"/>
    </xf>
    <xf numFmtId="166" fontId="37" fillId="0" borderId="45" xfId="2" applyNumberFormat="1" applyFont="1" applyBorder="1" applyAlignment="1">
      <alignment horizontal="right"/>
    </xf>
    <xf numFmtId="0" fontId="0" fillId="0" borderId="0" xfId="0" applyFont="1" applyAlignment="1"/>
    <xf numFmtId="166" fontId="42" fillId="4" borderId="57" xfId="2" applyNumberFormat="1" applyFont="1" applyFill="1" applyBorder="1" applyAlignment="1">
      <alignment vertical="top" wrapText="1"/>
    </xf>
    <xf numFmtId="1" fontId="27" fillId="0" borderId="3" xfId="0" applyNumberFormat="1" applyFont="1" applyBorder="1" applyAlignment="1">
      <alignment horizontal="right" vertical="center" wrapText="1"/>
    </xf>
    <xf numFmtId="170" fontId="17" fillId="2" borderId="58" xfId="0" applyNumberFormat="1" applyFont="1" applyFill="1" applyBorder="1" applyAlignment="1">
      <alignment horizontal="center" vertical="center"/>
    </xf>
    <xf numFmtId="170" fontId="17" fillId="2" borderId="59" xfId="0" applyNumberFormat="1" applyFont="1" applyFill="1" applyBorder="1" applyAlignment="1">
      <alignment horizontal="center" vertical="center"/>
    </xf>
    <xf numFmtId="170" fontId="17" fillId="2" borderId="60" xfId="0" applyNumberFormat="1" applyFont="1" applyFill="1" applyBorder="1" applyAlignment="1">
      <alignment horizontal="center" vertical="center" wrapText="1"/>
    </xf>
    <xf numFmtId="0" fontId="17" fillId="2" borderId="60" xfId="0" quotePrefix="1" applyFont="1" applyFill="1" applyBorder="1" applyAlignment="1">
      <alignment horizontal="center" vertical="center"/>
    </xf>
    <xf numFmtId="170" fontId="9" fillId="2" borderId="61" xfId="0" applyNumberFormat="1" applyFont="1" applyFill="1" applyBorder="1" applyAlignment="1">
      <alignment vertical="top"/>
    </xf>
    <xf numFmtId="170" fontId="17" fillId="2" borderId="61" xfId="0" applyNumberFormat="1" applyFont="1" applyFill="1" applyBorder="1" applyAlignment="1">
      <alignment vertical="top" wrapText="1"/>
    </xf>
    <xf numFmtId="170" fontId="9" fillId="2" borderId="64" xfId="0" applyNumberFormat="1" applyFont="1" applyFill="1" applyBorder="1" applyAlignment="1">
      <alignment vertical="top"/>
    </xf>
    <xf numFmtId="170" fontId="17" fillId="2" borderId="62" xfId="0" applyNumberFormat="1" applyFont="1" applyFill="1" applyBorder="1" applyAlignment="1">
      <alignment vertical="top" wrapText="1"/>
    </xf>
    <xf numFmtId="170" fontId="17" fillId="2" borderId="65" xfId="0" applyNumberFormat="1" applyFont="1" applyFill="1" applyBorder="1" applyAlignment="1">
      <alignment vertical="top" wrapText="1"/>
    </xf>
    <xf numFmtId="166" fontId="43" fillId="4" borderId="57" xfId="2" applyNumberFormat="1" applyFont="1" applyFill="1" applyBorder="1" applyAlignment="1">
      <alignment vertical="top"/>
    </xf>
    <xf numFmtId="0" fontId="0" fillId="0" borderId="0" xfId="0"/>
    <xf numFmtId="0" fontId="17" fillId="2" borderId="66" xfId="0" quotePrefix="1" applyFont="1" applyFill="1" applyBorder="1" applyAlignment="1">
      <alignment horizontal="center" vertical="center"/>
    </xf>
    <xf numFmtId="170" fontId="17" fillId="2" borderId="63" xfId="0" applyNumberFormat="1" applyFont="1" applyFill="1" applyBorder="1" applyAlignment="1">
      <alignment vertical="top" wrapText="1"/>
    </xf>
    <xf numFmtId="0" fontId="44" fillId="0" borderId="0" xfId="0" applyFont="1" applyAlignment="1"/>
    <xf numFmtId="0" fontId="17" fillId="2" borderId="22" xfId="0" quotePrefix="1" applyFont="1" applyFill="1" applyBorder="1" applyAlignment="1">
      <alignment horizontal="center" vertical="center"/>
    </xf>
    <xf numFmtId="170" fontId="17" fillId="2" borderId="67" xfId="0" applyNumberFormat="1" applyFont="1" applyFill="1" applyBorder="1" applyAlignment="1">
      <alignment horizontal="center" vertical="center"/>
    </xf>
    <xf numFmtId="170" fontId="17" fillId="2" borderId="68" xfId="0" applyNumberFormat="1" applyFont="1" applyFill="1" applyBorder="1" applyAlignment="1">
      <alignment horizontal="center" vertical="center"/>
    </xf>
    <xf numFmtId="170" fontId="17" fillId="2" borderId="69" xfId="0" applyNumberFormat="1" applyFont="1" applyFill="1" applyBorder="1" applyAlignment="1">
      <alignment horizontal="center" vertical="center" wrapText="1"/>
    </xf>
    <xf numFmtId="0" fontId="17" fillId="2" borderId="70" xfId="0" quotePrefix="1" applyFont="1" applyFill="1" applyBorder="1" applyAlignment="1">
      <alignment horizontal="center" vertical="center"/>
    </xf>
    <xf numFmtId="170" fontId="9" fillId="2" borderId="71" xfId="0" applyNumberFormat="1" applyFont="1" applyFill="1" applyBorder="1" applyAlignment="1">
      <alignment vertical="top"/>
    </xf>
    <xf numFmtId="170" fontId="17" fillId="2" borderId="72" xfId="0" applyNumberFormat="1" applyFont="1" applyFill="1" applyBorder="1" applyAlignment="1">
      <alignment vertical="top" wrapText="1"/>
    </xf>
    <xf numFmtId="170" fontId="17" fillId="2" borderId="71" xfId="0" applyNumberFormat="1" applyFont="1" applyFill="1" applyBorder="1" applyAlignment="1">
      <alignment vertical="top" wrapText="1"/>
    </xf>
    <xf numFmtId="170" fontId="17" fillId="2" borderId="73" xfId="0" applyNumberFormat="1" applyFont="1" applyFill="1" applyBorder="1" applyAlignment="1">
      <alignment vertical="top" wrapText="1"/>
    </xf>
    <xf numFmtId="170" fontId="9" fillId="2" borderId="74" xfId="0" applyNumberFormat="1" applyFont="1" applyFill="1" applyBorder="1" applyAlignment="1">
      <alignment vertical="top"/>
    </xf>
    <xf numFmtId="170" fontId="17" fillId="2" borderId="75" xfId="0" applyNumberFormat="1" applyFont="1" applyFill="1" applyBorder="1" applyAlignment="1">
      <alignment vertical="top" wrapText="1"/>
    </xf>
    <xf numFmtId="170" fontId="42" fillId="4" borderId="57" xfId="2" applyNumberFormat="1" applyFont="1" applyFill="1" applyBorder="1" applyAlignment="1">
      <alignment vertical="top" wrapText="1"/>
    </xf>
    <xf numFmtId="170" fontId="43" fillId="4" borderId="57" xfId="2" applyNumberFormat="1" applyFont="1" applyFill="1" applyBorder="1" applyAlignment="1">
      <alignment vertical="top"/>
    </xf>
    <xf numFmtId="0" fontId="0" fillId="0" borderId="0" xfId="0" applyFont="1" applyAlignment="1"/>
    <xf numFmtId="0" fontId="17" fillId="2" borderId="76" xfId="0" applyFont="1" applyFill="1" applyBorder="1" applyAlignment="1">
      <alignment vertical="top" wrapText="1"/>
    </xf>
    <xf numFmtId="3" fontId="45" fillId="0" borderId="28" xfId="0" applyNumberFormat="1" applyFont="1" applyBorder="1" applyAlignment="1">
      <alignment horizontal="right" vertical="center"/>
    </xf>
    <xf numFmtId="3" fontId="45" fillId="0" borderId="35" xfId="0" applyNumberFormat="1" applyFont="1" applyBorder="1" applyAlignment="1">
      <alignment horizontal="right" vertical="center"/>
    </xf>
    <xf numFmtId="0" fontId="17" fillId="2" borderId="77" xfId="0" quotePrefix="1" applyFont="1" applyFill="1" applyBorder="1" applyAlignment="1">
      <alignment horizontal="center" vertical="center"/>
    </xf>
    <xf numFmtId="0" fontId="17" fillId="2" borderId="78" xfId="0" quotePrefix="1" applyFont="1" applyFill="1" applyBorder="1" applyAlignment="1">
      <alignment horizontal="center" vertical="center"/>
    </xf>
    <xf numFmtId="3" fontId="45" fillId="0" borderId="76" xfId="0" applyNumberFormat="1" applyFont="1" applyBorder="1" applyAlignment="1">
      <alignment horizontal="right" vertical="center"/>
    </xf>
    <xf numFmtId="0" fontId="0" fillId="0" borderId="0" xfId="0" applyFont="1" applyAlignment="1"/>
    <xf numFmtId="0" fontId="0" fillId="0" borderId="0" xfId="0" applyAlignment="1">
      <alignment vertical="top"/>
    </xf>
    <xf numFmtId="165" fontId="10" fillId="4" borderId="45" xfId="1" applyNumberFormat="1" applyFont="1" applyFill="1" applyBorder="1" applyAlignment="1">
      <alignment horizontal="right"/>
    </xf>
    <xf numFmtId="166" fontId="10" fillId="0" borderId="1" xfId="0" applyNumberFormat="1" applyFont="1" applyBorder="1" applyAlignment="1">
      <alignment horizontal="right"/>
    </xf>
    <xf numFmtId="4" fontId="37" fillId="0" borderId="79" xfId="1" applyNumberFormat="1" applyFont="1" applyBorder="1" applyAlignment="1">
      <alignment horizontal="right"/>
    </xf>
    <xf numFmtId="4" fontId="37" fillId="0" borderId="79" xfId="0" applyNumberFormat="1" applyFont="1" applyBorder="1" applyAlignment="1">
      <alignment horizontal="right" wrapText="1"/>
    </xf>
    <xf numFmtId="2" fontId="12" fillId="0" borderId="14" xfId="0" applyNumberFormat="1" applyFont="1" applyBorder="1" applyAlignment="1">
      <alignment horizontal="right"/>
    </xf>
    <xf numFmtId="4" fontId="12" fillId="0" borderId="14" xfId="0" applyNumberFormat="1" applyFont="1" applyBorder="1"/>
    <xf numFmtId="165" fontId="19" fillId="0" borderId="14" xfId="0" applyNumberFormat="1" applyFont="1" applyBorder="1"/>
    <xf numFmtId="4" fontId="5" fillId="0" borderId="14" xfId="0" applyNumberFormat="1" applyFont="1" applyBorder="1" applyAlignment="1">
      <alignment horizontal="right" wrapText="1"/>
    </xf>
    <xf numFmtId="166" fontId="10" fillId="0" borderId="45" xfId="0" applyNumberFormat="1" applyFont="1" applyBorder="1" applyAlignment="1">
      <alignment horizontal="right"/>
    </xf>
    <xf numFmtId="167" fontId="5" fillId="0" borderId="45" xfId="0" applyNumberFormat="1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70" fontId="43" fillId="4" borderId="80" xfId="2" applyNumberFormat="1" applyFont="1" applyFill="1" applyBorder="1" applyAlignment="1">
      <alignment vertical="top"/>
    </xf>
    <xf numFmtId="170" fontId="43" fillId="4" borderId="81" xfId="2" applyNumberFormat="1" applyFont="1" applyFill="1" applyBorder="1" applyAlignment="1">
      <alignment vertical="top"/>
    </xf>
    <xf numFmtId="170" fontId="43" fillId="4" borderId="71" xfId="2" applyNumberFormat="1" applyFont="1" applyFill="1" applyBorder="1" applyAlignment="1">
      <alignment vertical="top"/>
    </xf>
    <xf numFmtId="0" fontId="3" fillId="0" borderId="0" xfId="0" applyFont="1" applyAlignment="1"/>
    <xf numFmtId="0" fontId="3" fillId="7" borderId="0" xfId="0" applyFont="1" applyFill="1" applyAlignment="1"/>
    <xf numFmtId="0" fontId="0" fillId="7" borderId="0" xfId="0" applyFont="1" applyFill="1" applyAlignment="1"/>
    <xf numFmtId="0" fontId="3" fillId="8" borderId="0" xfId="0" applyFont="1" applyFill="1" applyAlignment="1"/>
    <xf numFmtId="0" fontId="0" fillId="8" borderId="0" xfId="0" applyFont="1" applyFill="1" applyAlignment="1"/>
    <xf numFmtId="0" fontId="3" fillId="9" borderId="0" xfId="0" applyFont="1" applyFill="1" applyAlignment="1"/>
    <xf numFmtId="0" fontId="0" fillId="9" borderId="0" xfId="0" applyFont="1" applyFill="1" applyAlignment="1"/>
    <xf numFmtId="165" fontId="40" fillId="0" borderId="53" xfId="1" applyNumberFormat="1" applyFont="1" applyBorder="1"/>
    <xf numFmtId="0" fontId="10" fillId="2" borderId="7" xfId="0" applyFont="1" applyFill="1" applyBorder="1" applyAlignment="1">
      <alignment horizontal="center"/>
    </xf>
    <xf numFmtId="165" fontId="20" fillId="0" borderId="53" xfId="1" applyNumberFormat="1" applyFont="1" applyBorder="1"/>
    <xf numFmtId="0" fontId="10" fillId="2" borderId="12" xfId="0" applyFont="1" applyFill="1" applyBorder="1" applyAlignment="1">
      <alignment horizontal="left"/>
    </xf>
    <xf numFmtId="173" fontId="0" fillId="0" borderId="0" xfId="0" applyNumberFormat="1" applyFont="1" applyAlignment="1"/>
    <xf numFmtId="170" fontId="43" fillId="4" borderId="82" xfId="2" applyNumberFormat="1" applyFont="1" applyFill="1" applyBorder="1" applyAlignment="1">
      <alignment vertical="top"/>
    </xf>
    <xf numFmtId="170" fontId="43" fillId="4" borderId="83" xfId="2" applyNumberFormat="1" applyFont="1" applyFill="1" applyBorder="1" applyAlignment="1">
      <alignment vertical="top"/>
    </xf>
    <xf numFmtId="170" fontId="9" fillId="2" borderId="84" xfId="0" applyNumberFormat="1" applyFont="1" applyFill="1" applyBorder="1" applyAlignment="1">
      <alignment vertical="top"/>
    </xf>
    <xf numFmtId="170" fontId="9" fillId="2" borderId="85" xfId="0" applyNumberFormat="1" applyFont="1" applyFill="1" applyBorder="1" applyAlignment="1">
      <alignment vertical="top"/>
    </xf>
    <xf numFmtId="170" fontId="9" fillId="2" borderId="86" xfId="0" applyNumberFormat="1" applyFont="1" applyFill="1" applyBorder="1" applyAlignment="1">
      <alignment vertical="top"/>
    </xf>
    <xf numFmtId="170" fontId="9" fillId="2" borderId="87" xfId="0" applyNumberFormat="1" applyFont="1" applyFill="1" applyBorder="1" applyAlignment="1">
      <alignment vertical="top"/>
    </xf>
    <xf numFmtId="0" fontId="17" fillId="2" borderId="69" xfId="0" quotePrefix="1" applyFont="1" applyFill="1" applyBorder="1" applyAlignment="1">
      <alignment horizontal="center" vertical="center"/>
    </xf>
    <xf numFmtId="0" fontId="17" fillId="2" borderId="88" xfId="0" quotePrefix="1" applyFont="1" applyFill="1" applyBorder="1" applyAlignment="1">
      <alignment horizontal="center" vertical="center"/>
    </xf>
    <xf numFmtId="166" fontId="43" fillId="4" borderId="89" xfId="2" applyNumberFormat="1" applyFont="1" applyFill="1" applyBorder="1" applyAlignment="1">
      <alignment vertical="top"/>
    </xf>
    <xf numFmtId="0" fontId="46" fillId="10" borderId="90" xfId="0" applyFont="1" applyFill="1" applyBorder="1" applyAlignment="1">
      <alignment horizontal="right" vertical="center" wrapText="1"/>
    </xf>
    <xf numFmtId="174" fontId="48" fillId="10" borderId="90" xfId="0" applyNumberFormat="1" applyFont="1" applyFill="1" applyBorder="1" applyAlignment="1">
      <alignment horizontal="right" vertical="center" wrapText="1"/>
    </xf>
    <xf numFmtId="0" fontId="47" fillId="0" borderId="0" xfId="0" applyFont="1" applyAlignment="1"/>
    <xf numFmtId="0" fontId="2" fillId="8" borderId="0" xfId="0" applyFont="1" applyFill="1" applyAlignment="1"/>
    <xf numFmtId="0" fontId="2" fillId="7" borderId="0" xfId="0" applyFont="1" applyFill="1" applyAlignment="1"/>
    <xf numFmtId="0" fontId="2" fillId="0" borderId="0" xfId="0" applyFont="1" applyAlignment="1"/>
    <xf numFmtId="1" fontId="28" fillId="0" borderId="3" xfId="0" applyNumberFormat="1" applyFont="1" applyBorder="1" applyAlignment="1">
      <alignment horizontal="right" vertical="center"/>
    </xf>
    <xf numFmtId="175" fontId="9" fillId="2" borderId="28" xfId="0" applyNumberFormat="1" applyFont="1" applyFill="1" applyBorder="1" applyAlignment="1">
      <alignment vertical="top"/>
    </xf>
    <xf numFmtId="0" fontId="0" fillId="0" borderId="0" xfId="0" applyFont="1" applyAlignment="1"/>
    <xf numFmtId="176" fontId="28" fillId="0" borderId="3" xfId="0" applyNumberFormat="1" applyFont="1" applyBorder="1" applyAlignment="1">
      <alignment horizontal="right" vertical="center" wrapText="1"/>
    </xf>
    <xf numFmtId="176" fontId="27" fillId="0" borderId="3" xfId="0" applyNumberFormat="1" applyFont="1" applyBorder="1" applyAlignment="1">
      <alignment horizontal="right" vertical="center" wrapText="1"/>
    </xf>
    <xf numFmtId="170" fontId="43" fillId="4" borderId="89" xfId="2" applyNumberFormat="1" applyFont="1" applyFill="1" applyBorder="1" applyAlignment="1">
      <alignment vertical="top"/>
    </xf>
    <xf numFmtId="0" fontId="0" fillId="0" borderId="0" xfId="0" applyFont="1" applyAlignment="1">
      <alignment vertical="top"/>
    </xf>
    <xf numFmtId="1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12" xfId="0" applyFont="1" applyBorder="1" applyAlignment="1">
      <alignment vertical="top"/>
    </xf>
    <xf numFmtId="170" fontId="17" fillId="2" borderId="19" xfId="0" applyNumberFormat="1" applyFont="1" applyFill="1" applyBorder="1" applyAlignment="1">
      <alignment vertical="top" wrapText="1"/>
    </xf>
    <xf numFmtId="0" fontId="0" fillId="0" borderId="76" xfId="0" applyFont="1" applyBorder="1" applyAlignment="1">
      <alignment vertical="top"/>
    </xf>
    <xf numFmtId="0" fontId="1" fillId="0" borderId="0" xfId="0" applyFont="1" applyAlignment="1"/>
    <xf numFmtId="165" fontId="9" fillId="0" borderId="91" xfId="4" applyNumberFormat="1" applyFont="1" applyBorder="1" applyAlignment="1" applyProtection="1">
      <alignment vertical="center"/>
      <protection locked="0"/>
    </xf>
    <xf numFmtId="1" fontId="9" fillId="0" borderId="51" xfId="4" applyNumberFormat="1" applyFont="1" applyBorder="1" applyAlignment="1" applyProtection="1">
      <alignment vertical="center"/>
      <protection locked="0"/>
    </xf>
    <xf numFmtId="0" fontId="1" fillId="0" borderId="92" xfId="0" applyFont="1" applyBorder="1" applyAlignment="1"/>
    <xf numFmtId="41" fontId="0" fillId="0" borderId="92" xfId="1" applyNumberFormat="1" applyFont="1" applyBorder="1" applyAlignment="1"/>
    <xf numFmtId="41" fontId="0" fillId="0" borderId="92" xfId="0" applyNumberFormat="1" applyFont="1" applyBorder="1" applyAlignment="1"/>
    <xf numFmtId="41" fontId="9" fillId="0" borderId="92" xfId="4" applyNumberFormat="1" applyFont="1" applyBorder="1" applyAlignment="1" applyProtection="1">
      <alignment vertical="center"/>
      <protection locked="0"/>
    </xf>
    <xf numFmtId="1" fontId="0" fillId="0" borderId="92" xfId="0" applyNumberFormat="1" applyFont="1" applyBorder="1" applyAlignment="1"/>
    <xf numFmtId="0" fontId="0" fillId="0" borderId="92" xfId="0" applyFont="1" applyBorder="1" applyAlignment="1"/>
    <xf numFmtId="0" fontId="1" fillId="0" borderId="12" xfId="0" applyFont="1" applyBorder="1" applyAlignment="1"/>
    <xf numFmtId="0" fontId="0" fillId="0" borderId="12" xfId="0" applyFont="1" applyBorder="1" applyAlignment="1"/>
    <xf numFmtId="0" fontId="0" fillId="0" borderId="92" xfId="0" applyFont="1" applyBorder="1" applyAlignment="1">
      <alignment vertical="top"/>
    </xf>
    <xf numFmtId="0" fontId="0" fillId="0" borderId="0" xfId="0" applyFont="1" applyAlignment="1"/>
    <xf numFmtId="0" fontId="0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13" fillId="0" borderId="0" xfId="0" applyFont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6" fillId="0" borderId="0" xfId="0" applyFont="1"/>
    <xf numFmtId="0" fontId="5" fillId="2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center" wrapText="1"/>
    </xf>
    <xf numFmtId="0" fontId="8" fillId="0" borderId="10" xfId="0" applyFont="1" applyBorder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8" fillId="0" borderId="13" xfId="0" applyFont="1" applyBorder="1"/>
    <xf numFmtId="0" fontId="13" fillId="2" borderId="11" xfId="0" applyFont="1" applyFill="1" applyBorder="1"/>
    <xf numFmtId="0" fontId="8" fillId="0" borderId="12" xfId="0" applyFont="1" applyBorder="1"/>
    <xf numFmtId="0" fontId="5" fillId="2" borderId="1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170" fontId="17" fillId="2" borderId="1" xfId="0" applyNumberFormat="1" applyFont="1" applyFill="1" applyBorder="1" applyAlignment="1">
      <alignment horizontal="center" vertical="center" wrapText="1"/>
    </xf>
    <xf numFmtId="170" fontId="25" fillId="2" borderId="11" xfId="0" applyNumberFormat="1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8" fillId="0" borderId="18" xfId="0" applyFont="1" applyBorder="1"/>
    <xf numFmtId="0" fontId="8" fillId="0" borderId="21" xfId="0" applyFont="1" applyBorder="1"/>
    <xf numFmtId="170" fontId="9" fillId="2" borderId="12" xfId="0" applyNumberFormat="1" applyFont="1" applyFill="1" applyBorder="1" applyAlignment="1">
      <alignment vertical="top"/>
    </xf>
    <xf numFmtId="170" fontId="17" fillId="2" borderId="12" xfId="0" applyNumberFormat="1" applyFont="1" applyFill="1" applyBorder="1" applyAlignment="1">
      <alignment vertical="top" wrapText="1"/>
    </xf>
    <xf numFmtId="170" fontId="9" fillId="2" borderId="92" xfId="0" applyNumberFormat="1" applyFont="1" applyFill="1" applyBorder="1" applyAlignment="1">
      <alignment vertical="top"/>
    </xf>
    <xf numFmtId="1" fontId="27" fillId="0" borderId="3" xfId="0" applyNumberFormat="1" applyFont="1" applyBorder="1" applyAlignment="1">
      <alignment horizontal="right" vertical="center"/>
    </xf>
    <xf numFmtId="170" fontId="27" fillId="2" borderId="3" xfId="0" applyNumberFormat="1" applyFont="1" applyFill="1" applyBorder="1" applyAlignment="1">
      <alignment vertical="top"/>
    </xf>
    <xf numFmtId="170" fontId="27" fillId="2" borderId="3" xfId="0" applyNumberFormat="1" applyFont="1" applyFill="1" applyBorder="1" applyAlignment="1">
      <alignment horizontal="right" vertical="top"/>
    </xf>
    <xf numFmtId="1" fontId="28" fillId="3" borderId="3" xfId="0" applyNumberFormat="1" applyFont="1" applyFill="1" applyBorder="1" applyAlignment="1">
      <alignment horizontal="right" vertical="center"/>
    </xf>
    <xf numFmtId="41" fontId="27" fillId="0" borderId="3" xfId="1" applyFont="1" applyBorder="1" applyAlignment="1">
      <alignment horizontal="right" vertical="center"/>
    </xf>
    <xf numFmtId="166" fontId="27" fillId="2" borderId="3" xfId="0" applyNumberFormat="1" applyFont="1" applyFill="1" applyBorder="1" applyAlignment="1">
      <alignment vertical="top"/>
    </xf>
  </cellXfs>
  <cellStyles count="5">
    <cellStyle name="Comma" xfId="2" builtinId="3"/>
    <cellStyle name="Comma [0]" xfId="1" builtinId="6"/>
    <cellStyle name="Comma [0] 2" xfId="4" xr:uid="{38C8D682-B2C3-4171-A783-AEC33F0B5E02}"/>
    <cellStyle name="Normal" xfId="0" builtinId="0"/>
    <cellStyle name="Normal 4" xfId="3" xr:uid="{0958AB50-0094-4C18-9676-E8DE5EEEF0BC}"/>
  </cellStyles>
  <dxfs count="6">
    <dxf>
      <fill>
        <patternFill patternType="solid">
          <fgColor indexed="64"/>
          <bgColor rgb="FFFFE79B"/>
        </patternFill>
      </fill>
    </dxf>
    <dxf>
      <fill>
        <patternFill patternType="solid">
          <fgColor indexed="64"/>
          <bgColor theme="5" tint="0.39994506668294322"/>
        </patternFill>
      </fill>
    </dxf>
    <dxf>
      <fill>
        <patternFill patternType="solid">
          <fgColor indexed="64"/>
          <bgColor rgb="FFFFE79B"/>
        </patternFill>
      </fill>
    </dxf>
    <dxf>
      <fill>
        <patternFill patternType="solid">
          <fgColor indexed="64"/>
          <bgColor theme="5" tint="0.39994506668294322"/>
        </patternFill>
      </fill>
    </dxf>
    <dxf>
      <fill>
        <patternFill patternType="solid">
          <fgColor indexed="64"/>
          <bgColor rgb="FFFFE79B"/>
        </patternFill>
      </fill>
    </dxf>
    <dxf>
      <fill>
        <patternFill patternType="solid">
          <fgColor indexed="64"/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customschemas.google.com/relationships/workbookmetadata" Target="metadata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HOIRUL%20UMI%20NUR%20FAUZIYAH/SP/2025/STATISTIK%20PERTANIAN/Hortikultura/SPH-BST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HOIRUL%20UMI%20NUR%20FAUZIYAH/BDD%202024/29%20DPKP%20BREB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T 4 2024"/>
      <sheetName val="BST 1"/>
      <sheetName val="BST 2"/>
      <sheetName val="BST 3"/>
      <sheetName val="BST 4"/>
      <sheetName val="TBM"/>
      <sheetName val="Rekap BST"/>
      <sheetName val="TABULASI BST"/>
      <sheetName val="Range Baru"/>
      <sheetName val="RKSPH-BST"/>
    </sheetNames>
    <sheetDataSet>
      <sheetData sheetId="0"/>
      <sheetData sheetId="1">
        <row r="4">
          <cell r="A4" t="str">
            <v>Tanaman</v>
          </cell>
          <cell r="B4" t="str">
            <v>Jenis Data</v>
          </cell>
          <cell r="D4" t="str">
            <v xml:space="preserve">SALEM </v>
          </cell>
          <cell r="E4" t="str">
            <v xml:space="preserve">BANTARKAWUNG </v>
          </cell>
          <cell r="F4" t="str">
            <v>BUMIAYU</v>
          </cell>
          <cell r="G4" t="str">
            <v>PAGUYANGAN</v>
          </cell>
          <cell r="H4" t="str">
            <v>SIRAMPOG</v>
          </cell>
          <cell r="I4" t="str">
            <v xml:space="preserve">TONJONG </v>
          </cell>
          <cell r="J4" t="str">
            <v xml:space="preserve">LARANGAN  </v>
          </cell>
          <cell r="K4" t="str">
            <v>KETANGGUNGAN</v>
          </cell>
          <cell r="L4" t="str">
            <v>BANJARHARJO</v>
          </cell>
          <cell r="M4" t="str">
            <v>LOSARI</v>
          </cell>
          <cell r="N4" t="str">
            <v>TANJUNG</v>
          </cell>
          <cell r="O4" t="str">
            <v>KERSANA</v>
          </cell>
          <cell r="P4" t="str">
            <v>BULAKAMBA</v>
          </cell>
          <cell r="Q4" t="str">
            <v>WANASARI</v>
          </cell>
          <cell r="R4" t="str">
            <v>SONGGOM</v>
          </cell>
          <cell r="S4" t="str">
            <v>JATIBARANG</v>
          </cell>
          <cell r="T4" t="str">
            <v xml:space="preserve">BREBES </v>
          </cell>
        </row>
        <row r="5">
          <cell r="A5" t="str">
            <v>Alpukat</v>
          </cell>
          <cell r="B5" t="str">
            <v>Tan Akhir Trw lalu</v>
          </cell>
          <cell r="C5" t="str">
            <v>Pohon/rumpun</v>
          </cell>
          <cell r="D5">
            <v>340</v>
          </cell>
          <cell r="E5">
            <v>900</v>
          </cell>
          <cell r="F5">
            <v>462</v>
          </cell>
          <cell r="G5">
            <v>1139</v>
          </cell>
          <cell r="H5">
            <v>2095</v>
          </cell>
          <cell r="I5">
            <v>5174</v>
          </cell>
          <cell r="J5">
            <v>2</v>
          </cell>
          <cell r="K5">
            <v>0</v>
          </cell>
          <cell r="L5">
            <v>38</v>
          </cell>
          <cell r="M5">
            <v>21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60</v>
          </cell>
          <cell r="S5">
            <v>0</v>
          </cell>
          <cell r="T5">
            <v>0</v>
          </cell>
        </row>
        <row r="6">
          <cell r="B6" t="str">
            <v>Selama Triwulan</v>
          </cell>
          <cell r="C6" t="str">
            <v>Bongkar</v>
          </cell>
          <cell r="F6">
            <v>34</v>
          </cell>
          <cell r="G6">
            <v>10</v>
          </cell>
          <cell r="I6">
            <v>25</v>
          </cell>
          <cell r="M6">
            <v>3</v>
          </cell>
          <cell r="R6">
            <v>60</v>
          </cell>
        </row>
        <row r="7">
          <cell r="C7" t="str">
            <v>Baru</v>
          </cell>
          <cell r="D7">
            <v>3000</v>
          </cell>
          <cell r="G7">
            <v>4</v>
          </cell>
          <cell r="H7">
            <v>52</v>
          </cell>
          <cell r="I7">
            <v>5</v>
          </cell>
        </row>
        <row r="8">
          <cell r="B8" t="str">
            <v xml:space="preserve">∑ Tanaman Akhir </v>
          </cell>
          <cell r="C8" t="str">
            <v>Pohon/rumpun</v>
          </cell>
          <cell r="D8">
            <v>3340</v>
          </cell>
          <cell r="E8">
            <v>900</v>
          </cell>
          <cell r="F8">
            <v>428</v>
          </cell>
          <cell r="G8">
            <v>1133</v>
          </cell>
          <cell r="H8">
            <v>2147</v>
          </cell>
          <cell r="I8">
            <v>5154</v>
          </cell>
          <cell r="J8">
            <v>2</v>
          </cell>
          <cell r="K8">
            <v>0</v>
          </cell>
          <cell r="L8">
            <v>38</v>
          </cell>
          <cell r="M8">
            <v>18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B9" t="str">
            <v>Di Akhir Triwulan</v>
          </cell>
          <cell r="C9" t="str">
            <v>TBM</v>
          </cell>
          <cell r="D9">
            <v>3140</v>
          </cell>
          <cell r="E9">
            <v>650</v>
          </cell>
          <cell r="F9">
            <v>97</v>
          </cell>
          <cell r="G9">
            <v>520</v>
          </cell>
          <cell r="H9">
            <v>733</v>
          </cell>
          <cell r="I9">
            <v>3710</v>
          </cell>
          <cell r="J9">
            <v>2</v>
          </cell>
          <cell r="L9">
            <v>38</v>
          </cell>
        </row>
        <row r="10">
          <cell r="C10" t="str">
            <v>TPSM</v>
          </cell>
          <cell r="D10">
            <v>135</v>
          </cell>
          <cell r="E10">
            <v>75</v>
          </cell>
          <cell r="F10">
            <v>312</v>
          </cell>
          <cell r="G10">
            <v>345</v>
          </cell>
          <cell r="H10">
            <v>751</v>
          </cell>
          <cell r="I10">
            <v>155</v>
          </cell>
          <cell r="M10">
            <v>18</v>
          </cell>
        </row>
        <row r="11">
          <cell r="C11" t="str">
            <v>TPBM</v>
          </cell>
          <cell r="D11">
            <v>0</v>
          </cell>
          <cell r="E11">
            <v>175</v>
          </cell>
          <cell r="F11">
            <v>14</v>
          </cell>
          <cell r="G11">
            <v>248</v>
          </cell>
          <cell r="H11">
            <v>663</v>
          </cell>
          <cell r="I11">
            <v>1265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C12" t="str">
            <v>TR</v>
          </cell>
          <cell r="D12">
            <v>65</v>
          </cell>
          <cell r="F12">
            <v>5</v>
          </cell>
          <cell r="G12">
            <v>20</v>
          </cell>
          <cell r="I12">
            <v>24</v>
          </cell>
        </row>
        <row r="13">
          <cell r="B13" t="str">
            <v>Produksi</v>
          </cell>
          <cell r="C13" t="str">
            <v>(kuintal)</v>
          </cell>
          <cell r="D13">
            <v>114</v>
          </cell>
          <cell r="E13">
            <v>53</v>
          </cell>
          <cell r="F13">
            <v>53.1</v>
          </cell>
          <cell r="G13">
            <v>123.93</v>
          </cell>
          <cell r="H13">
            <v>650</v>
          </cell>
          <cell r="I13">
            <v>55.6</v>
          </cell>
          <cell r="J13">
            <v>0</v>
          </cell>
          <cell r="K13">
            <v>0</v>
          </cell>
          <cell r="L13">
            <v>0</v>
          </cell>
          <cell r="M13">
            <v>21.6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B14" t="str">
            <v>Provitas</v>
          </cell>
          <cell r="C14" t="str">
            <v>(ku/pohon)</v>
          </cell>
          <cell r="D14">
            <v>0.84444444444444444</v>
          </cell>
          <cell r="E14">
            <v>0.70666666666666667</v>
          </cell>
          <cell r="F14">
            <v>0.1701923076923077</v>
          </cell>
          <cell r="G14">
            <v>0.35921739130434782</v>
          </cell>
          <cell r="H14">
            <v>0.86551264980026632</v>
          </cell>
          <cell r="I14">
            <v>0.35870967741935483</v>
          </cell>
          <cell r="J14" t="e">
            <v>#DIV/0!</v>
          </cell>
          <cell r="K14" t="e">
            <v>#DIV/0!</v>
          </cell>
          <cell r="L14" t="e">
            <v>#DIV/0!</v>
          </cell>
          <cell r="M14">
            <v>1.2000000000000002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</row>
        <row r="15">
          <cell r="B15" t="str">
            <v>Harga/kg</v>
          </cell>
          <cell r="C15" t="str">
            <v>Rupiah</v>
          </cell>
          <cell r="D15">
            <v>15000</v>
          </cell>
          <cell r="E15">
            <v>7500</v>
          </cell>
          <cell r="F15">
            <v>40000</v>
          </cell>
          <cell r="G15">
            <v>12000</v>
          </cell>
          <cell r="H15">
            <v>14000</v>
          </cell>
          <cell r="I15">
            <v>16000</v>
          </cell>
          <cell r="J15">
            <v>0</v>
          </cell>
          <cell r="K15">
            <v>0</v>
          </cell>
          <cell r="L15">
            <v>0</v>
          </cell>
          <cell r="M15">
            <v>18000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 t="str">
            <v>Anggur</v>
          </cell>
          <cell r="B16" t="str">
            <v>Tan Akhir Trw lalu</v>
          </cell>
          <cell r="C16" t="str">
            <v>Pohon/rumpun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80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280</v>
          </cell>
          <cell r="S16">
            <v>0</v>
          </cell>
          <cell r="T16">
            <v>0</v>
          </cell>
        </row>
        <row r="17">
          <cell r="B17" t="str">
            <v>Selama Triwulan</v>
          </cell>
          <cell r="C17" t="str">
            <v>Bongkar</v>
          </cell>
          <cell r="R17">
            <v>13</v>
          </cell>
        </row>
        <row r="18">
          <cell r="C18" t="str">
            <v>Baru</v>
          </cell>
          <cell r="R18">
            <v>4</v>
          </cell>
        </row>
        <row r="19">
          <cell r="B19" t="str">
            <v xml:space="preserve">∑ Tanaman Akhir </v>
          </cell>
          <cell r="C19" t="str">
            <v>Pohon/rumpun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80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271</v>
          </cell>
          <cell r="S19">
            <v>0</v>
          </cell>
          <cell r="T19">
            <v>0</v>
          </cell>
        </row>
        <row r="20">
          <cell r="B20" t="str">
            <v>Di Akhir Triwulan</v>
          </cell>
          <cell r="C20" t="str">
            <v>TBM</v>
          </cell>
          <cell r="I20">
            <v>25</v>
          </cell>
          <cell r="R20">
            <v>67</v>
          </cell>
        </row>
        <row r="21">
          <cell r="C21" t="str">
            <v>TPSM</v>
          </cell>
          <cell r="I21">
            <v>15</v>
          </cell>
          <cell r="R21">
            <v>204</v>
          </cell>
        </row>
        <row r="22">
          <cell r="C22" t="str">
            <v>TPBM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C23" t="str">
            <v>TR</v>
          </cell>
        </row>
        <row r="24">
          <cell r="B24" t="str">
            <v>Produksi</v>
          </cell>
          <cell r="C24" t="str">
            <v>(kuintal)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1.5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6.12</v>
          </cell>
          <cell r="S24">
            <v>0</v>
          </cell>
          <cell r="T24">
            <v>0</v>
          </cell>
        </row>
        <row r="25">
          <cell r="B25" t="str">
            <v>Provitas</v>
          </cell>
          <cell r="C25" t="str">
            <v>(ku/pohon)</v>
          </cell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>
            <v>0.1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  <cell r="N25" t="e">
            <v>#DIV/0!</v>
          </cell>
          <cell r="O25" t="e">
            <v>#DIV/0!</v>
          </cell>
          <cell r="P25" t="e">
            <v>#DIV/0!</v>
          </cell>
          <cell r="Q25" t="e">
            <v>#DIV/0!</v>
          </cell>
          <cell r="R25">
            <v>0.03</v>
          </cell>
          <cell r="S25" t="e">
            <v>#DIV/0!</v>
          </cell>
          <cell r="T25" t="e">
            <v>#DIV/0!</v>
          </cell>
        </row>
        <row r="26">
          <cell r="B26" t="str">
            <v>Harga/kg</v>
          </cell>
          <cell r="C26" t="str">
            <v>Rupiah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22000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35000</v>
          </cell>
          <cell r="S26">
            <v>0</v>
          </cell>
          <cell r="T26">
            <v>0</v>
          </cell>
        </row>
        <row r="27">
          <cell r="A27" t="str">
            <v>Apel</v>
          </cell>
          <cell r="B27" t="str">
            <v>Tan Akhir Trw lalu</v>
          </cell>
          <cell r="C27" t="str">
            <v>Pohon/rumpun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B28" t="str">
            <v>Selama Triwulan</v>
          </cell>
          <cell r="C28" t="str">
            <v>Bongkar</v>
          </cell>
        </row>
        <row r="29">
          <cell r="C29" t="str">
            <v>Baru</v>
          </cell>
        </row>
        <row r="30">
          <cell r="B30" t="str">
            <v xml:space="preserve">∑ Tanaman Akhir </v>
          </cell>
          <cell r="C30" t="str">
            <v>Pohon/rumpun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Di Akhir Triwulan</v>
          </cell>
          <cell r="C31" t="str">
            <v>TBM</v>
          </cell>
        </row>
        <row r="32">
          <cell r="C32" t="str">
            <v>TPSM</v>
          </cell>
        </row>
        <row r="33">
          <cell r="C33" t="str">
            <v>TPBM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C34" t="str">
            <v>TR</v>
          </cell>
        </row>
        <row r="35">
          <cell r="B35" t="str">
            <v>Produksi</v>
          </cell>
          <cell r="C35" t="str">
            <v>(kuintal)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B36" t="str">
            <v>Provitas</v>
          </cell>
          <cell r="C36" t="str">
            <v>(ku/pohon)</v>
          </cell>
          <cell r="D36" t="e">
            <v>#DIV/0!</v>
          </cell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  <cell r="N36" t="e">
            <v>#DIV/0!</v>
          </cell>
          <cell r="O36" t="e">
            <v>#DIV/0!</v>
          </cell>
          <cell r="P36" t="e">
            <v>#DIV/0!</v>
          </cell>
          <cell r="Q36" t="e">
            <v>#DIV/0!</v>
          </cell>
          <cell r="R36" t="e">
            <v>#DIV/0!</v>
          </cell>
          <cell r="S36" t="e">
            <v>#DIV/0!</v>
          </cell>
          <cell r="T36" t="e">
            <v>#DIV/0!</v>
          </cell>
        </row>
        <row r="37">
          <cell r="B37" t="str">
            <v>Harga/kg</v>
          </cell>
          <cell r="C37" t="str">
            <v>Rupiah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 t="str">
            <v>Belimbing</v>
          </cell>
          <cell r="B38" t="str">
            <v>Tan Akhir Trw lalu</v>
          </cell>
          <cell r="C38" t="str">
            <v>Pohon/rumpun</v>
          </cell>
          <cell r="D38">
            <v>630</v>
          </cell>
          <cell r="E38">
            <v>650</v>
          </cell>
          <cell r="F38">
            <v>260</v>
          </cell>
          <cell r="G38">
            <v>859</v>
          </cell>
          <cell r="H38">
            <v>471</v>
          </cell>
          <cell r="I38">
            <v>529</v>
          </cell>
          <cell r="J38">
            <v>88</v>
          </cell>
          <cell r="K38">
            <v>552</v>
          </cell>
          <cell r="L38">
            <v>3148</v>
          </cell>
          <cell r="M38">
            <v>891</v>
          </cell>
          <cell r="N38">
            <v>160</v>
          </cell>
          <cell r="O38">
            <v>124</v>
          </cell>
          <cell r="P38">
            <v>569</v>
          </cell>
          <cell r="Q38">
            <v>250</v>
          </cell>
          <cell r="R38">
            <v>34</v>
          </cell>
          <cell r="S38">
            <v>352</v>
          </cell>
          <cell r="T38">
            <v>484</v>
          </cell>
        </row>
        <row r="39">
          <cell r="B39" t="str">
            <v>Selama Triwulan</v>
          </cell>
          <cell r="C39" t="str">
            <v>Bongkar</v>
          </cell>
          <cell r="F39">
            <v>18</v>
          </cell>
          <cell r="G39">
            <v>9</v>
          </cell>
          <cell r="H39">
            <v>15</v>
          </cell>
          <cell r="I39">
            <v>13</v>
          </cell>
          <cell r="J39">
            <v>4</v>
          </cell>
          <cell r="K39">
            <v>12</v>
          </cell>
          <cell r="L39">
            <v>57</v>
          </cell>
          <cell r="M39">
            <v>42</v>
          </cell>
          <cell r="O39">
            <v>7</v>
          </cell>
          <cell r="P39">
            <v>21</v>
          </cell>
          <cell r="Q39">
            <v>35</v>
          </cell>
          <cell r="R39">
            <v>10</v>
          </cell>
        </row>
        <row r="40">
          <cell r="C40" t="str">
            <v>Baru</v>
          </cell>
          <cell r="N40">
            <v>10</v>
          </cell>
          <cell r="O40">
            <v>37</v>
          </cell>
        </row>
        <row r="41">
          <cell r="B41" t="str">
            <v xml:space="preserve">∑ Tanaman Akhir </v>
          </cell>
          <cell r="C41" t="str">
            <v>Pohon/rumpun</v>
          </cell>
          <cell r="D41">
            <v>630</v>
          </cell>
          <cell r="E41">
            <v>650</v>
          </cell>
          <cell r="F41">
            <v>242</v>
          </cell>
          <cell r="G41">
            <v>850</v>
          </cell>
          <cell r="H41">
            <v>456</v>
          </cell>
          <cell r="I41">
            <v>516</v>
          </cell>
          <cell r="J41">
            <v>84</v>
          </cell>
          <cell r="K41">
            <v>540</v>
          </cell>
          <cell r="L41">
            <v>3091</v>
          </cell>
          <cell r="M41">
            <v>849</v>
          </cell>
          <cell r="N41">
            <v>170</v>
          </cell>
          <cell r="O41">
            <v>154</v>
          </cell>
          <cell r="P41">
            <v>548</v>
          </cell>
          <cell r="Q41">
            <v>215</v>
          </cell>
          <cell r="R41">
            <v>24</v>
          </cell>
          <cell r="S41">
            <v>352</v>
          </cell>
          <cell r="T41">
            <v>484</v>
          </cell>
        </row>
        <row r="42">
          <cell r="B42" t="str">
            <v>Di Akhir Triwulan</v>
          </cell>
          <cell r="C42" t="str">
            <v>TBM</v>
          </cell>
          <cell r="D42">
            <v>180</v>
          </cell>
          <cell r="E42">
            <v>335</v>
          </cell>
          <cell r="F42">
            <v>26</v>
          </cell>
          <cell r="G42">
            <v>415</v>
          </cell>
          <cell r="H42">
            <v>28</v>
          </cell>
          <cell r="K42">
            <v>3</v>
          </cell>
          <cell r="L42">
            <v>1827</v>
          </cell>
          <cell r="M42">
            <v>421</v>
          </cell>
          <cell r="N42">
            <v>20</v>
          </cell>
          <cell r="O42">
            <v>31</v>
          </cell>
          <cell r="P42">
            <v>151</v>
          </cell>
          <cell r="Q42">
            <v>16</v>
          </cell>
          <cell r="R42">
            <v>20</v>
          </cell>
          <cell r="S42">
            <v>132</v>
          </cell>
          <cell r="T42">
            <v>12</v>
          </cell>
        </row>
        <row r="43">
          <cell r="C43" t="str">
            <v>TPSM</v>
          </cell>
          <cell r="D43">
            <v>430</v>
          </cell>
          <cell r="F43">
            <v>208</v>
          </cell>
          <cell r="H43">
            <v>367</v>
          </cell>
          <cell r="I43">
            <v>96</v>
          </cell>
          <cell r="J43">
            <v>84</v>
          </cell>
          <cell r="K43">
            <v>532</v>
          </cell>
          <cell r="L43">
            <v>1230</v>
          </cell>
          <cell r="M43">
            <v>428</v>
          </cell>
          <cell r="N43">
            <v>150</v>
          </cell>
          <cell r="O43">
            <v>115</v>
          </cell>
          <cell r="P43">
            <v>397</v>
          </cell>
          <cell r="Q43">
            <v>193</v>
          </cell>
          <cell r="R43">
            <v>4</v>
          </cell>
          <cell r="S43">
            <v>220</v>
          </cell>
          <cell r="T43">
            <v>164</v>
          </cell>
        </row>
        <row r="44">
          <cell r="C44" t="str">
            <v>TPBM</v>
          </cell>
          <cell r="D44">
            <v>0</v>
          </cell>
          <cell r="E44">
            <v>315</v>
          </cell>
          <cell r="F44">
            <v>7</v>
          </cell>
          <cell r="G44">
            <v>413</v>
          </cell>
          <cell r="H44">
            <v>61</v>
          </cell>
          <cell r="I44">
            <v>412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308</v>
          </cell>
        </row>
        <row r="45">
          <cell r="C45" t="str">
            <v>TR</v>
          </cell>
          <cell r="D45">
            <v>20</v>
          </cell>
          <cell r="F45">
            <v>1</v>
          </cell>
          <cell r="G45">
            <v>22</v>
          </cell>
          <cell r="I45">
            <v>8</v>
          </cell>
          <cell r="K45">
            <v>5</v>
          </cell>
          <cell r="L45">
            <v>34</v>
          </cell>
          <cell r="O45">
            <v>8</v>
          </cell>
          <cell r="Q45">
            <v>6</v>
          </cell>
        </row>
        <row r="46">
          <cell r="B46" t="str">
            <v>Produksi</v>
          </cell>
          <cell r="C46" t="str">
            <v>(kuintal)</v>
          </cell>
          <cell r="D46">
            <v>51.6</v>
          </cell>
          <cell r="E46">
            <v>0</v>
          </cell>
          <cell r="F46">
            <v>76.25</v>
          </cell>
          <cell r="G46">
            <v>0</v>
          </cell>
          <cell r="H46">
            <v>766</v>
          </cell>
          <cell r="I46">
            <v>13.35</v>
          </cell>
          <cell r="J46">
            <v>40</v>
          </cell>
          <cell r="K46">
            <v>310</v>
          </cell>
          <cell r="L46">
            <v>175</v>
          </cell>
          <cell r="M46">
            <v>167.35</v>
          </cell>
          <cell r="N46">
            <v>45</v>
          </cell>
          <cell r="O46">
            <v>58</v>
          </cell>
          <cell r="P46">
            <v>35.5</v>
          </cell>
          <cell r="Q46">
            <v>7.72</v>
          </cell>
          <cell r="R46">
            <v>0.8</v>
          </cell>
          <cell r="S46">
            <v>44</v>
          </cell>
          <cell r="T46">
            <v>92</v>
          </cell>
        </row>
        <row r="47">
          <cell r="B47" t="str">
            <v>Provitas</v>
          </cell>
          <cell r="C47" t="str">
            <v>(ku/pohon)</v>
          </cell>
          <cell r="D47">
            <v>0.12000000000000001</v>
          </cell>
          <cell r="E47" t="e">
            <v>#DIV/0!</v>
          </cell>
          <cell r="F47">
            <v>0.36658653846153844</v>
          </cell>
          <cell r="G47" t="e">
            <v>#DIV/0!</v>
          </cell>
          <cell r="H47">
            <v>2.0871934604904632</v>
          </cell>
          <cell r="I47">
            <v>0.13906250000000001</v>
          </cell>
          <cell r="J47">
            <v>0.47619047619047616</v>
          </cell>
          <cell r="K47">
            <v>0.58270676691729328</v>
          </cell>
          <cell r="L47">
            <v>0.14227642276422764</v>
          </cell>
          <cell r="M47">
            <v>0.39100467289719626</v>
          </cell>
          <cell r="N47">
            <v>0.3</v>
          </cell>
          <cell r="O47">
            <v>0.5043478260869565</v>
          </cell>
          <cell r="P47">
            <v>8.9420654911838787E-2</v>
          </cell>
          <cell r="Q47">
            <v>0.04</v>
          </cell>
          <cell r="R47">
            <v>0.2</v>
          </cell>
          <cell r="S47">
            <v>0.2</v>
          </cell>
          <cell r="T47">
            <v>0.56097560975609762</v>
          </cell>
        </row>
        <row r="48">
          <cell r="B48" t="str">
            <v>Harga/kg</v>
          </cell>
          <cell r="C48" t="str">
            <v>Rupiah</v>
          </cell>
          <cell r="D48">
            <v>36000</v>
          </cell>
          <cell r="E48">
            <v>0</v>
          </cell>
          <cell r="F48">
            <v>15000</v>
          </cell>
          <cell r="G48">
            <v>0</v>
          </cell>
          <cell r="H48">
            <v>5000</v>
          </cell>
          <cell r="I48">
            <v>6500</v>
          </cell>
          <cell r="J48">
            <v>6000</v>
          </cell>
          <cell r="K48">
            <v>10000</v>
          </cell>
          <cell r="L48">
            <v>8000</v>
          </cell>
          <cell r="M48">
            <v>5000</v>
          </cell>
          <cell r="N48">
            <v>4000</v>
          </cell>
          <cell r="O48">
            <v>3500</v>
          </cell>
          <cell r="P48">
            <v>5000</v>
          </cell>
          <cell r="Q48">
            <v>4000</v>
          </cell>
          <cell r="R48">
            <v>3500</v>
          </cell>
          <cell r="S48">
            <v>5000</v>
          </cell>
          <cell r="T48">
            <v>5000</v>
          </cell>
        </row>
        <row r="49">
          <cell r="A49" t="str">
            <v>Buah Naga *)</v>
          </cell>
          <cell r="B49" t="str">
            <v>Tan Akhir Trw lalu</v>
          </cell>
          <cell r="C49" t="str">
            <v>Pohon/rumpun</v>
          </cell>
          <cell r="D49">
            <v>0</v>
          </cell>
          <cell r="E49">
            <v>100</v>
          </cell>
          <cell r="F49">
            <v>0</v>
          </cell>
          <cell r="G49">
            <v>0</v>
          </cell>
          <cell r="H49">
            <v>15</v>
          </cell>
          <cell r="I49">
            <v>30</v>
          </cell>
          <cell r="J49">
            <v>0</v>
          </cell>
          <cell r="K49">
            <v>0</v>
          </cell>
          <cell r="L49">
            <v>350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Selama Triwulan</v>
          </cell>
          <cell r="C50" t="str">
            <v>Bongkar</v>
          </cell>
        </row>
        <row r="51">
          <cell r="C51" t="str">
            <v>Baru</v>
          </cell>
        </row>
        <row r="52">
          <cell r="B52" t="str">
            <v xml:space="preserve">∑ Tanaman Akhir </v>
          </cell>
          <cell r="C52" t="str">
            <v>Pohon/rumpun</v>
          </cell>
          <cell r="D52">
            <v>0</v>
          </cell>
          <cell r="E52">
            <v>100</v>
          </cell>
          <cell r="F52">
            <v>0</v>
          </cell>
          <cell r="G52">
            <v>0</v>
          </cell>
          <cell r="H52">
            <v>15</v>
          </cell>
          <cell r="I52">
            <v>30</v>
          </cell>
          <cell r="J52">
            <v>0</v>
          </cell>
          <cell r="K52">
            <v>0</v>
          </cell>
          <cell r="L52">
            <v>350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B53" t="str">
            <v>Di Akhir Triwulan</v>
          </cell>
          <cell r="C53" t="str">
            <v>TBM</v>
          </cell>
          <cell r="E53">
            <v>66</v>
          </cell>
          <cell r="H53">
            <v>15</v>
          </cell>
          <cell r="I53">
            <v>17</v>
          </cell>
          <cell r="L53">
            <v>350</v>
          </cell>
        </row>
        <row r="54">
          <cell r="C54" t="str">
            <v>TPSM</v>
          </cell>
          <cell r="I54">
            <v>10</v>
          </cell>
        </row>
        <row r="55">
          <cell r="C55" t="str">
            <v>TPBM</v>
          </cell>
          <cell r="D55">
            <v>0</v>
          </cell>
          <cell r="E55">
            <v>34</v>
          </cell>
          <cell r="F55">
            <v>0</v>
          </cell>
          <cell r="G55">
            <v>0</v>
          </cell>
          <cell r="H55">
            <v>0</v>
          </cell>
          <cell r="I55">
            <v>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C56" t="str">
            <v>TR</v>
          </cell>
        </row>
        <row r="57">
          <cell r="B57" t="str">
            <v>Produksi</v>
          </cell>
          <cell r="C57" t="str">
            <v>(kuintal)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0.9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B58" t="str">
            <v>Provitas</v>
          </cell>
          <cell r="C58" t="str">
            <v>(ku/pohon)</v>
          </cell>
          <cell r="D58" t="e">
            <v>#DIV/0!</v>
          </cell>
          <cell r="E58" t="e">
            <v>#DIV/0!</v>
          </cell>
          <cell r="F58" t="e">
            <v>#DIV/0!</v>
          </cell>
          <cell r="G58" t="e">
            <v>#DIV/0!</v>
          </cell>
          <cell r="H58" t="e">
            <v>#DIV/0!</v>
          </cell>
          <cell r="I58">
            <v>0.09</v>
          </cell>
          <cell r="J58" t="e">
            <v>#DIV/0!</v>
          </cell>
          <cell r="K58" t="e">
            <v>#DIV/0!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e">
            <v>#DIV/0!</v>
          </cell>
          <cell r="Q58" t="e">
            <v>#DIV/0!</v>
          </cell>
          <cell r="R58" t="e">
            <v>#DIV/0!</v>
          </cell>
          <cell r="S58" t="e">
            <v>#DIV/0!</v>
          </cell>
          <cell r="T58" t="e">
            <v>#DIV/0!</v>
          </cell>
        </row>
        <row r="59">
          <cell r="B59" t="str">
            <v>Harga/kg</v>
          </cell>
          <cell r="C59" t="str">
            <v>Rupiah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12000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 t="str">
            <v>Duku/Langsat/Kokosan</v>
          </cell>
          <cell r="B60" t="str">
            <v>Tan Akhir Trw lalu</v>
          </cell>
          <cell r="C60" t="str">
            <v>Pohon/rumpun</v>
          </cell>
          <cell r="D60">
            <v>254</v>
          </cell>
          <cell r="E60">
            <v>190</v>
          </cell>
          <cell r="F60">
            <v>37</v>
          </cell>
          <cell r="G60">
            <v>1235</v>
          </cell>
          <cell r="H60">
            <v>310</v>
          </cell>
          <cell r="I60">
            <v>901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B61" t="str">
            <v>Selama Triwulan</v>
          </cell>
          <cell r="C61" t="str">
            <v>Bongkar</v>
          </cell>
          <cell r="E61">
            <v>10</v>
          </cell>
          <cell r="G61">
            <v>14</v>
          </cell>
          <cell r="I61">
            <v>9</v>
          </cell>
        </row>
        <row r="62">
          <cell r="C62" t="str">
            <v>Baru</v>
          </cell>
        </row>
        <row r="63">
          <cell r="B63" t="str">
            <v xml:space="preserve">∑ Tanaman Akhir </v>
          </cell>
          <cell r="C63" t="str">
            <v>Pohon/rumpun</v>
          </cell>
          <cell r="D63">
            <v>254</v>
          </cell>
          <cell r="E63">
            <v>180</v>
          </cell>
          <cell r="F63">
            <v>37</v>
          </cell>
          <cell r="G63">
            <v>1221</v>
          </cell>
          <cell r="H63">
            <v>310</v>
          </cell>
          <cell r="I63">
            <v>892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Di Akhir Triwulan</v>
          </cell>
          <cell r="C64" t="str">
            <v>TBM</v>
          </cell>
          <cell r="D64">
            <v>94</v>
          </cell>
          <cell r="E64">
            <v>115</v>
          </cell>
          <cell r="G64">
            <v>665</v>
          </cell>
          <cell r="H64">
            <v>310</v>
          </cell>
          <cell r="I64">
            <v>6</v>
          </cell>
        </row>
        <row r="65">
          <cell r="C65" t="str">
            <v>TPSM</v>
          </cell>
          <cell r="D65">
            <v>140</v>
          </cell>
          <cell r="E65">
            <v>50</v>
          </cell>
          <cell r="F65">
            <v>31</v>
          </cell>
          <cell r="G65">
            <v>330</v>
          </cell>
          <cell r="I65">
            <v>40</v>
          </cell>
        </row>
        <row r="66">
          <cell r="C66" t="str">
            <v>TPBM</v>
          </cell>
          <cell r="D66">
            <v>0</v>
          </cell>
          <cell r="E66">
            <v>15</v>
          </cell>
          <cell r="F66">
            <v>3</v>
          </cell>
          <cell r="G66">
            <v>208</v>
          </cell>
          <cell r="H66">
            <v>0</v>
          </cell>
          <cell r="I66">
            <v>780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C67" t="str">
            <v>TR</v>
          </cell>
          <cell r="D67">
            <v>20</v>
          </cell>
          <cell r="F67">
            <v>3</v>
          </cell>
          <cell r="G67">
            <v>18</v>
          </cell>
          <cell r="I67">
            <v>66</v>
          </cell>
        </row>
        <row r="68">
          <cell r="B68" t="str">
            <v>Produksi</v>
          </cell>
          <cell r="C68" t="str">
            <v>(kuintal)</v>
          </cell>
          <cell r="D68">
            <v>28</v>
          </cell>
          <cell r="E68">
            <v>40</v>
          </cell>
          <cell r="F68">
            <v>12.09</v>
          </cell>
          <cell r="G68">
            <v>111.83</v>
          </cell>
          <cell r="H68">
            <v>0</v>
          </cell>
          <cell r="I68">
            <v>13.5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B69" t="str">
            <v>Provitas</v>
          </cell>
          <cell r="C69" t="str">
            <v>(ku/pohon)</v>
          </cell>
          <cell r="D69">
            <v>0.2</v>
          </cell>
          <cell r="E69">
            <v>0.8</v>
          </cell>
          <cell r="F69">
            <v>0.39</v>
          </cell>
          <cell r="G69">
            <v>0.33887878787878789</v>
          </cell>
          <cell r="H69" t="e">
            <v>#DIV/0!</v>
          </cell>
          <cell r="I69">
            <v>0.33750000000000002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  <cell r="N69" t="e">
            <v>#DIV/0!</v>
          </cell>
          <cell r="O69" t="e">
            <v>#DIV/0!</v>
          </cell>
          <cell r="P69" t="e">
            <v>#DIV/0!</v>
          </cell>
          <cell r="Q69" t="e">
            <v>#DIV/0!</v>
          </cell>
          <cell r="R69" t="e">
            <v>#DIV/0!</v>
          </cell>
          <cell r="S69" t="e">
            <v>#DIV/0!</v>
          </cell>
          <cell r="T69" t="e">
            <v>#DIV/0!</v>
          </cell>
        </row>
        <row r="70">
          <cell r="B70" t="str">
            <v>Harga/kg</v>
          </cell>
          <cell r="C70" t="str">
            <v>Rupiah</v>
          </cell>
          <cell r="D70">
            <v>8000</v>
          </cell>
          <cell r="E70">
            <v>14000</v>
          </cell>
          <cell r="F70">
            <v>30000</v>
          </cell>
          <cell r="G70">
            <v>8000</v>
          </cell>
          <cell r="H70">
            <v>0</v>
          </cell>
          <cell r="I70">
            <v>10000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 t="str">
            <v>Durian</v>
          </cell>
          <cell r="B71" t="str">
            <v>Tan Akhir Trw lalu</v>
          </cell>
          <cell r="C71" t="str">
            <v>Pohon/rumpun</v>
          </cell>
          <cell r="D71">
            <v>17295</v>
          </cell>
          <cell r="E71">
            <v>1848</v>
          </cell>
          <cell r="F71">
            <v>2673</v>
          </cell>
          <cell r="G71">
            <v>12446</v>
          </cell>
          <cell r="H71">
            <v>5286</v>
          </cell>
          <cell r="I71">
            <v>21750</v>
          </cell>
          <cell r="J71">
            <v>0</v>
          </cell>
          <cell r="K71">
            <v>523</v>
          </cell>
          <cell r="L71">
            <v>6202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70</v>
          </cell>
          <cell r="S71">
            <v>0</v>
          </cell>
          <cell r="T71">
            <v>0</v>
          </cell>
        </row>
        <row r="72">
          <cell r="B72" t="str">
            <v>Selama Triwulan</v>
          </cell>
          <cell r="C72" t="str">
            <v>Bongkar</v>
          </cell>
          <cell r="E72">
            <v>12</v>
          </cell>
          <cell r="F72">
            <v>132</v>
          </cell>
          <cell r="G72">
            <v>12</v>
          </cell>
          <cell r="H72">
            <v>16</v>
          </cell>
          <cell r="I72">
            <v>16</v>
          </cell>
          <cell r="L72">
            <v>26</v>
          </cell>
        </row>
        <row r="73">
          <cell r="C73" t="str">
            <v>Baru</v>
          </cell>
          <cell r="D73">
            <v>1210</v>
          </cell>
          <cell r="E73">
            <v>10</v>
          </cell>
          <cell r="F73">
            <v>50</v>
          </cell>
          <cell r="G73">
            <v>4</v>
          </cell>
          <cell r="H73">
            <v>32</v>
          </cell>
          <cell r="I73">
            <v>14</v>
          </cell>
        </row>
        <row r="74">
          <cell r="B74" t="str">
            <v xml:space="preserve">∑ Tanaman Akhir </v>
          </cell>
          <cell r="C74" t="str">
            <v>Pohon/rumpun</v>
          </cell>
          <cell r="D74">
            <v>18505</v>
          </cell>
          <cell r="E74">
            <v>1846</v>
          </cell>
          <cell r="F74">
            <v>2591</v>
          </cell>
          <cell r="G74">
            <v>12438</v>
          </cell>
          <cell r="H74">
            <v>5302</v>
          </cell>
          <cell r="I74">
            <v>21748</v>
          </cell>
          <cell r="J74">
            <v>0</v>
          </cell>
          <cell r="K74">
            <v>523</v>
          </cell>
          <cell r="L74">
            <v>6176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70</v>
          </cell>
          <cell r="S74">
            <v>0</v>
          </cell>
          <cell r="T74">
            <v>0</v>
          </cell>
        </row>
        <row r="75">
          <cell r="B75" t="str">
            <v>Di Akhir Triwulan</v>
          </cell>
          <cell r="C75" t="str">
            <v>TBM</v>
          </cell>
          <cell r="D75">
            <v>8960</v>
          </cell>
          <cell r="E75">
            <v>1135</v>
          </cell>
          <cell r="F75">
            <v>851</v>
          </cell>
          <cell r="G75">
            <v>1970</v>
          </cell>
          <cell r="H75">
            <v>1058</v>
          </cell>
          <cell r="I75">
            <v>2130</v>
          </cell>
          <cell r="K75">
            <v>312</v>
          </cell>
          <cell r="L75">
            <v>5786</v>
          </cell>
          <cell r="R75">
            <v>70</v>
          </cell>
        </row>
        <row r="76">
          <cell r="C76" t="str">
            <v>TPSM</v>
          </cell>
          <cell r="D76">
            <v>9530</v>
          </cell>
          <cell r="E76">
            <v>446</v>
          </cell>
          <cell r="F76">
            <v>1156</v>
          </cell>
          <cell r="G76">
            <v>725</v>
          </cell>
          <cell r="H76">
            <v>1613</v>
          </cell>
          <cell r="I76">
            <v>520</v>
          </cell>
          <cell r="K76">
            <v>211</v>
          </cell>
          <cell r="L76">
            <v>342</v>
          </cell>
        </row>
        <row r="77">
          <cell r="C77" t="str">
            <v>TPBM</v>
          </cell>
          <cell r="D77">
            <v>0</v>
          </cell>
          <cell r="E77">
            <v>265</v>
          </cell>
          <cell r="F77">
            <v>298</v>
          </cell>
          <cell r="G77">
            <v>9715</v>
          </cell>
          <cell r="H77">
            <v>2631</v>
          </cell>
          <cell r="I77">
            <v>19010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C78" t="str">
            <v>TR</v>
          </cell>
          <cell r="D78">
            <v>15</v>
          </cell>
          <cell r="F78">
            <v>286</v>
          </cell>
          <cell r="G78">
            <v>28</v>
          </cell>
          <cell r="I78">
            <v>88</v>
          </cell>
          <cell r="L78">
            <v>48</v>
          </cell>
        </row>
        <row r="79">
          <cell r="B79" t="str">
            <v>Produksi</v>
          </cell>
          <cell r="C79" t="str">
            <v>(kuintal)</v>
          </cell>
          <cell r="D79">
            <v>480</v>
          </cell>
          <cell r="E79">
            <v>446</v>
          </cell>
          <cell r="F79">
            <v>637.37</v>
          </cell>
          <cell r="G79">
            <v>217.5</v>
          </cell>
          <cell r="H79">
            <v>968</v>
          </cell>
          <cell r="I79">
            <v>156</v>
          </cell>
          <cell r="J79">
            <v>0</v>
          </cell>
          <cell r="K79">
            <v>1034</v>
          </cell>
          <cell r="L79">
            <v>168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B80" t="str">
            <v>Provitas</v>
          </cell>
          <cell r="C80" t="str">
            <v>(ku/pohon)</v>
          </cell>
          <cell r="D80">
            <v>5.0367261280167892E-2</v>
          </cell>
          <cell r="E80">
            <v>1</v>
          </cell>
          <cell r="F80">
            <v>0.55135813148788926</v>
          </cell>
          <cell r="G80">
            <v>0.3</v>
          </cell>
          <cell r="H80">
            <v>0.60012399256044635</v>
          </cell>
          <cell r="I80">
            <v>0.3</v>
          </cell>
          <cell r="J80" t="e">
            <v>#DIV/0!</v>
          </cell>
          <cell r="K80">
            <v>4.9004739336492893</v>
          </cell>
          <cell r="L80">
            <v>0.49122807017543857</v>
          </cell>
          <cell r="M80" t="e">
            <v>#DIV/0!</v>
          </cell>
          <cell r="N80" t="e">
            <v>#DIV/0!</v>
          </cell>
          <cell r="O80" t="e">
            <v>#DIV/0!</v>
          </cell>
          <cell r="P80" t="e">
            <v>#DIV/0!</v>
          </cell>
          <cell r="Q80" t="e">
            <v>#DIV/0!</v>
          </cell>
          <cell r="R80" t="e">
            <v>#DIV/0!</v>
          </cell>
          <cell r="S80" t="e">
            <v>#DIV/0!</v>
          </cell>
          <cell r="T80" t="e">
            <v>#DIV/0!</v>
          </cell>
        </row>
        <row r="81">
          <cell r="B81" t="str">
            <v>Harga/kg</v>
          </cell>
          <cell r="C81" t="str">
            <v>Rupiah</v>
          </cell>
          <cell r="D81">
            <v>65000</v>
          </cell>
          <cell r="E81">
            <v>35000</v>
          </cell>
          <cell r="F81">
            <v>50000</v>
          </cell>
          <cell r="G81">
            <v>25000</v>
          </cell>
          <cell r="H81">
            <v>20000</v>
          </cell>
          <cell r="I81">
            <v>50000</v>
          </cell>
          <cell r="J81">
            <v>0</v>
          </cell>
          <cell r="K81">
            <v>50000</v>
          </cell>
          <cell r="L81">
            <v>22000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Jambu Air</v>
          </cell>
          <cell r="B82" t="str">
            <v>Tan Akhir Trw lalu</v>
          </cell>
          <cell r="C82" t="str">
            <v>Pohon/rumpun</v>
          </cell>
          <cell r="D82">
            <v>730</v>
          </cell>
          <cell r="E82">
            <v>500</v>
          </cell>
          <cell r="F82">
            <v>302</v>
          </cell>
          <cell r="G82">
            <v>1781</v>
          </cell>
          <cell r="H82">
            <v>569</v>
          </cell>
          <cell r="I82">
            <v>2758</v>
          </cell>
          <cell r="J82">
            <v>210</v>
          </cell>
          <cell r="K82">
            <v>9700</v>
          </cell>
          <cell r="L82">
            <v>7624</v>
          </cell>
          <cell r="M82">
            <v>1115</v>
          </cell>
          <cell r="N82">
            <v>1300</v>
          </cell>
          <cell r="O82">
            <v>223</v>
          </cell>
          <cell r="P82">
            <v>420</v>
          </cell>
          <cell r="Q82">
            <v>304</v>
          </cell>
          <cell r="R82">
            <v>25</v>
          </cell>
          <cell r="S82">
            <v>180</v>
          </cell>
          <cell r="T82">
            <v>499</v>
          </cell>
        </row>
        <row r="83">
          <cell r="B83" t="str">
            <v>Selama Triwulan</v>
          </cell>
          <cell r="C83" t="str">
            <v>Bongkar</v>
          </cell>
          <cell r="F83">
            <v>25</v>
          </cell>
          <cell r="G83">
            <v>8</v>
          </cell>
          <cell r="I83">
            <v>3</v>
          </cell>
          <cell r="J83">
            <v>10</v>
          </cell>
          <cell r="K83">
            <v>25</v>
          </cell>
          <cell r="L83">
            <v>61</v>
          </cell>
          <cell r="M83">
            <v>39</v>
          </cell>
          <cell r="O83">
            <v>13</v>
          </cell>
          <cell r="P83">
            <v>17</v>
          </cell>
          <cell r="Q83">
            <v>13</v>
          </cell>
        </row>
        <row r="84">
          <cell r="C84" t="str">
            <v>Baru</v>
          </cell>
          <cell r="I84">
            <v>5</v>
          </cell>
          <cell r="N84">
            <v>15</v>
          </cell>
          <cell r="O84">
            <v>67</v>
          </cell>
          <cell r="P84">
            <v>6</v>
          </cell>
        </row>
        <row r="85">
          <cell r="B85" t="str">
            <v xml:space="preserve">∑ Tanaman Akhir </v>
          </cell>
          <cell r="C85" t="str">
            <v>Pohon/rumpun</v>
          </cell>
          <cell r="D85">
            <v>730</v>
          </cell>
          <cell r="E85">
            <v>500</v>
          </cell>
          <cell r="F85">
            <v>277</v>
          </cell>
          <cell r="G85">
            <v>1773</v>
          </cell>
          <cell r="H85">
            <v>569</v>
          </cell>
          <cell r="I85">
            <v>2760</v>
          </cell>
          <cell r="J85">
            <v>200</v>
          </cell>
          <cell r="K85">
            <v>9675</v>
          </cell>
          <cell r="L85">
            <v>7563</v>
          </cell>
          <cell r="M85">
            <v>1076</v>
          </cell>
          <cell r="N85">
            <v>1315</v>
          </cell>
          <cell r="O85">
            <v>277</v>
          </cell>
          <cell r="P85">
            <v>409</v>
          </cell>
          <cell r="Q85">
            <v>291</v>
          </cell>
          <cell r="R85">
            <v>25</v>
          </cell>
          <cell r="S85">
            <v>180</v>
          </cell>
          <cell r="T85">
            <v>499</v>
          </cell>
        </row>
        <row r="86">
          <cell r="B86" t="str">
            <v>Di Akhir Triwulan</v>
          </cell>
          <cell r="C86" t="str">
            <v>TBM</v>
          </cell>
          <cell r="D86">
            <v>115</v>
          </cell>
          <cell r="E86">
            <v>325</v>
          </cell>
          <cell r="F86">
            <v>87</v>
          </cell>
          <cell r="G86">
            <v>975</v>
          </cell>
          <cell r="H86">
            <v>105</v>
          </cell>
          <cell r="I86">
            <v>10</v>
          </cell>
          <cell r="K86">
            <v>500</v>
          </cell>
          <cell r="L86">
            <v>6610</v>
          </cell>
          <cell r="M86">
            <v>697</v>
          </cell>
          <cell r="N86">
            <v>65</v>
          </cell>
          <cell r="O86">
            <v>55</v>
          </cell>
          <cell r="P86">
            <v>60</v>
          </cell>
          <cell r="Q86">
            <v>16</v>
          </cell>
          <cell r="R86">
            <v>10</v>
          </cell>
          <cell r="S86">
            <v>110</v>
          </cell>
          <cell r="T86">
            <v>30</v>
          </cell>
        </row>
        <row r="87">
          <cell r="C87" t="str">
            <v>TPSM</v>
          </cell>
          <cell r="D87">
            <v>610</v>
          </cell>
          <cell r="E87">
            <v>33</v>
          </cell>
          <cell r="F87">
            <v>181</v>
          </cell>
          <cell r="H87">
            <v>82</v>
          </cell>
          <cell r="I87">
            <v>150</v>
          </cell>
          <cell r="J87">
            <v>200</v>
          </cell>
          <cell r="K87">
            <v>9075</v>
          </cell>
          <cell r="L87">
            <v>874</v>
          </cell>
          <cell r="M87">
            <v>379</v>
          </cell>
          <cell r="N87">
            <v>1250</v>
          </cell>
          <cell r="O87">
            <v>207</v>
          </cell>
          <cell r="P87">
            <v>349</v>
          </cell>
          <cell r="Q87">
            <v>275</v>
          </cell>
          <cell r="R87">
            <v>15</v>
          </cell>
          <cell r="S87">
            <v>70</v>
          </cell>
          <cell r="T87">
            <v>162</v>
          </cell>
        </row>
        <row r="88">
          <cell r="C88" t="str">
            <v>TPBM</v>
          </cell>
          <cell r="D88">
            <v>0</v>
          </cell>
          <cell r="E88">
            <v>142</v>
          </cell>
          <cell r="F88">
            <v>8</v>
          </cell>
          <cell r="G88">
            <v>763</v>
          </cell>
          <cell r="H88">
            <v>382</v>
          </cell>
          <cell r="I88">
            <v>2597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307</v>
          </cell>
        </row>
        <row r="89">
          <cell r="C89" t="str">
            <v>TR</v>
          </cell>
          <cell r="D89">
            <v>5</v>
          </cell>
          <cell r="F89">
            <v>1</v>
          </cell>
          <cell r="G89">
            <v>35</v>
          </cell>
          <cell r="I89">
            <v>3</v>
          </cell>
          <cell r="K89">
            <v>100</v>
          </cell>
          <cell r="L89">
            <v>79</v>
          </cell>
          <cell r="O89">
            <v>14</v>
          </cell>
        </row>
        <row r="90">
          <cell r="B90" t="str">
            <v>Produksi</v>
          </cell>
          <cell r="C90" t="str">
            <v>(kuintal)</v>
          </cell>
          <cell r="D90">
            <v>124</v>
          </cell>
          <cell r="E90">
            <v>13</v>
          </cell>
          <cell r="F90">
            <v>32.58</v>
          </cell>
          <cell r="G90">
            <v>0</v>
          </cell>
          <cell r="H90">
            <v>121</v>
          </cell>
          <cell r="I90">
            <v>58.5</v>
          </cell>
          <cell r="J90">
            <v>100</v>
          </cell>
          <cell r="K90">
            <v>702</v>
          </cell>
          <cell r="L90">
            <v>103</v>
          </cell>
          <cell r="M90">
            <v>321.60000000000002</v>
          </cell>
          <cell r="N90">
            <v>312</v>
          </cell>
          <cell r="O90">
            <v>62</v>
          </cell>
          <cell r="P90">
            <v>124.18</v>
          </cell>
          <cell r="Q90">
            <v>11</v>
          </cell>
          <cell r="R90">
            <v>0.9</v>
          </cell>
          <cell r="S90">
            <v>28</v>
          </cell>
          <cell r="T90">
            <v>39</v>
          </cell>
        </row>
        <row r="91">
          <cell r="B91" t="str">
            <v>Provitas</v>
          </cell>
          <cell r="C91" t="str">
            <v>(ku/pohon)</v>
          </cell>
          <cell r="D91">
            <v>0.20327868852459016</v>
          </cell>
          <cell r="E91">
            <v>0.39393939393939392</v>
          </cell>
          <cell r="F91">
            <v>0.18</v>
          </cell>
          <cell r="G91" t="e">
            <v>#DIV/0!</v>
          </cell>
          <cell r="H91">
            <v>1.475609756097561</v>
          </cell>
          <cell r="I91">
            <v>0.39</v>
          </cell>
          <cell r="J91">
            <v>0.5</v>
          </cell>
          <cell r="K91">
            <v>7.7355371900826447E-2</v>
          </cell>
          <cell r="L91">
            <v>0.11784897025171624</v>
          </cell>
          <cell r="M91">
            <v>0.84854881266490767</v>
          </cell>
          <cell r="N91">
            <v>0.24959999999999999</v>
          </cell>
          <cell r="O91">
            <v>0.29951690821256038</v>
          </cell>
          <cell r="P91">
            <v>0.35581661891117483</v>
          </cell>
          <cell r="Q91">
            <v>0.04</v>
          </cell>
          <cell r="R91">
            <v>6.0000000000000005E-2</v>
          </cell>
          <cell r="S91">
            <v>0.4</v>
          </cell>
          <cell r="T91">
            <v>0.24074074074074073</v>
          </cell>
        </row>
        <row r="92">
          <cell r="B92" t="str">
            <v>Harga/kg</v>
          </cell>
          <cell r="C92" t="str">
            <v>Rupiah</v>
          </cell>
          <cell r="D92">
            <v>11000</v>
          </cell>
          <cell r="E92">
            <v>10000</v>
          </cell>
          <cell r="F92">
            <v>20000</v>
          </cell>
          <cell r="G92">
            <v>0</v>
          </cell>
          <cell r="H92">
            <v>5000</v>
          </cell>
          <cell r="I92">
            <v>6000</v>
          </cell>
          <cell r="J92">
            <v>15000</v>
          </cell>
          <cell r="K92">
            <v>12000</v>
          </cell>
          <cell r="L92">
            <v>6000</v>
          </cell>
          <cell r="M92">
            <v>15000</v>
          </cell>
          <cell r="N92">
            <v>4000</v>
          </cell>
          <cell r="O92">
            <v>5000</v>
          </cell>
          <cell r="P92">
            <v>5000</v>
          </cell>
          <cell r="Q92">
            <v>4500</v>
          </cell>
          <cell r="R92">
            <v>6000</v>
          </cell>
          <cell r="S92">
            <v>6000</v>
          </cell>
          <cell r="T92">
            <v>5000</v>
          </cell>
        </row>
        <row r="93">
          <cell r="A93" t="str">
            <v>Jambu Biji</v>
          </cell>
          <cell r="B93" t="str">
            <v>Tan Akhir Trw lalu</v>
          </cell>
          <cell r="C93" t="str">
            <v>Pohon/rumpun</v>
          </cell>
          <cell r="D93">
            <v>480</v>
          </cell>
          <cell r="E93">
            <v>1325</v>
          </cell>
          <cell r="F93">
            <v>420</v>
          </cell>
          <cell r="G93">
            <v>2843</v>
          </cell>
          <cell r="H93">
            <v>612</v>
          </cell>
          <cell r="I93">
            <v>4100</v>
          </cell>
          <cell r="J93">
            <v>871</v>
          </cell>
          <cell r="K93">
            <v>12600</v>
          </cell>
          <cell r="L93">
            <v>9619</v>
          </cell>
          <cell r="M93">
            <v>1047</v>
          </cell>
          <cell r="N93">
            <v>350</v>
          </cell>
          <cell r="O93">
            <v>317</v>
          </cell>
          <cell r="P93">
            <v>580</v>
          </cell>
          <cell r="Q93">
            <v>90</v>
          </cell>
          <cell r="R93">
            <v>81</v>
          </cell>
          <cell r="S93">
            <v>474</v>
          </cell>
          <cell r="T93">
            <v>82</v>
          </cell>
        </row>
        <row r="94">
          <cell r="B94" t="str">
            <v>Selama Triwulan</v>
          </cell>
          <cell r="C94" t="str">
            <v>Bongkar</v>
          </cell>
          <cell r="F94">
            <v>6</v>
          </cell>
          <cell r="G94">
            <v>11</v>
          </cell>
          <cell r="H94">
            <v>14</v>
          </cell>
          <cell r="I94">
            <v>10</v>
          </cell>
          <cell r="J94">
            <v>50</v>
          </cell>
          <cell r="K94">
            <v>150</v>
          </cell>
          <cell r="L94">
            <v>68</v>
          </cell>
          <cell r="M94">
            <v>74</v>
          </cell>
          <cell r="O94">
            <v>19</v>
          </cell>
          <cell r="P94">
            <v>11</v>
          </cell>
          <cell r="Q94">
            <v>13</v>
          </cell>
        </row>
        <row r="95">
          <cell r="C95" t="str">
            <v>Baru</v>
          </cell>
          <cell r="N95">
            <v>15</v>
          </cell>
          <cell r="O95">
            <v>63</v>
          </cell>
        </row>
        <row r="96">
          <cell r="B96" t="str">
            <v xml:space="preserve">∑ Tanaman Akhir </v>
          </cell>
          <cell r="C96" t="str">
            <v>Pohon/rumpun</v>
          </cell>
          <cell r="D96">
            <v>480</v>
          </cell>
          <cell r="E96">
            <v>1325</v>
          </cell>
          <cell r="F96">
            <v>414</v>
          </cell>
          <cell r="G96">
            <v>2832</v>
          </cell>
          <cell r="H96">
            <v>598</v>
          </cell>
          <cell r="I96">
            <v>4090</v>
          </cell>
          <cell r="J96">
            <v>821</v>
          </cell>
          <cell r="K96">
            <v>12450</v>
          </cell>
          <cell r="L96">
            <v>9551</v>
          </cell>
          <cell r="M96">
            <v>973</v>
          </cell>
          <cell r="N96">
            <v>365</v>
          </cell>
          <cell r="O96">
            <v>361</v>
          </cell>
          <cell r="P96">
            <v>569</v>
          </cell>
          <cell r="Q96">
            <v>77</v>
          </cell>
          <cell r="R96">
            <v>81</v>
          </cell>
          <cell r="S96">
            <v>474</v>
          </cell>
          <cell r="T96">
            <v>82</v>
          </cell>
        </row>
        <row r="97">
          <cell r="B97" t="str">
            <v>Di Akhir Triwulan</v>
          </cell>
          <cell r="C97" t="str">
            <v>TBM</v>
          </cell>
          <cell r="D97">
            <v>60</v>
          </cell>
          <cell r="E97">
            <v>550</v>
          </cell>
          <cell r="F97">
            <v>75</v>
          </cell>
          <cell r="G97">
            <v>1410</v>
          </cell>
          <cell r="H97">
            <v>462</v>
          </cell>
          <cell r="K97">
            <v>500</v>
          </cell>
          <cell r="L97">
            <v>6926</v>
          </cell>
          <cell r="M97">
            <v>506</v>
          </cell>
          <cell r="N97">
            <v>50</v>
          </cell>
          <cell r="O97">
            <v>72</v>
          </cell>
          <cell r="P97">
            <v>200</v>
          </cell>
          <cell r="Q97">
            <v>14</v>
          </cell>
          <cell r="R97">
            <v>33</v>
          </cell>
          <cell r="S97">
            <v>274</v>
          </cell>
        </row>
        <row r="98">
          <cell r="C98" t="str">
            <v>TPSM</v>
          </cell>
          <cell r="D98">
            <v>412</v>
          </cell>
          <cell r="E98">
            <v>445</v>
          </cell>
          <cell r="F98">
            <v>317</v>
          </cell>
          <cell r="G98">
            <v>1120</v>
          </cell>
          <cell r="H98">
            <v>76</v>
          </cell>
          <cell r="I98">
            <v>50</v>
          </cell>
          <cell r="J98">
            <v>821</v>
          </cell>
          <cell r="K98">
            <v>11900</v>
          </cell>
          <cell r="L98">
            <v>2569</v>
          </cell>
          <cell r="M98">
            <v>467</v>
          </cell>
          <cell r="N98">
            <v>315</v>
          </cell>
          <cell r="O98">
            <v>271</v>
          </cell>
          <cell r="P98">
            <v>369</v>
          </cell>
          <cell r="Q98">
            <v>63</v>
          </cell>
          <cell r="R98">
            <v>45</v>
          </cell>
          <cell r="S98">
            <v>190</v>
          </cell>
          <cell r="T98">
            <v>12</v>
          </cell>
        </row>
        <row r="99">
          <cell r="C99" t="str">
            <v>TPBM</v>
          </cell>
          <cell r="D99">
            <v>0</v>
          </cell>
          <cell r="E99">
            <v>330</v>
          </cell>
          <cell r="F99">
            <v>15</v>
          </cell>
          <cell r="G99">
            <v>262</v>
          </cell>
          <cell r="H99">
            <v>60</v>
          </cell>
          <cell r="I99">
            <v>4030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70</v>
          </cell>
        </row>
        <row r="100">
          <cell r="C100" t="str">
            <v>TR</v>
          </cell>
          <cell r="D100">
            <v>8</v>
          </cell>
          <cell r="F100">
            <v>7</v>
          </cell>
          <cell r="G100">
            <v>40</v>
          </cell>
          <cell r="I100">
            <v>10</v>
          </cell>
          <cell r="K100">
            <v>50</v>
          </cell>
          <cell r="L100">
            <v>56</v>
          </cell>
          <cell r="O100">
            <v>18</v>
          </cell>
          <cell r="R100">
            <v>3</v>
          </cell>
          <cell r="S100">
            <v>10</v>
          </cell>
        </row>
        <row r="101">
          <cell r="B101" t="str">
            <v>Produksi</v>
          </cell>
          <cell r="C101" t="str">
            <v>(kuintal)</v>
          </cell>
          <cell r="D101">
            <v>3186</v>
          </cell>
          <cell r="E101">
            <v>178</v>
          </cell>
          <cell r="F101">
            <v>158.5</v>
          </cell>
          <cell r="G101">
            <v>268.77</v>
          </cell>
          <cell r="H101">
            <v>112</v>
          </cell>
          <cell r="I101">
            <v>12</v>
          </cell>
          <cell r="J101">
            <v>410</v>
          </cell>
          <cell r="K101">
            <v>700</v>
          </cell>
          <cell r="L101">
            <v>199</v>
          </cell>
          <cell r="M101">
            <v>783.07</v>
          </cell>
          <cell r="N101">
            <v>94</v>
          </cell>
          <cell r="O101">
            <v>54</v>
          </cell>
          <cell r="P101">
            <v>189.75</v>
          </cell>
          <cell r="Q101">
            <v>2.52</v>
          </cell>
          <cell r="R101">
            <v>0.9</v>
          </cell>
          <cell r="S101">
            <v>38</v>
          </cell>
          <cell r="T101">
            <v>2</v>
          </cell>
        </row>
        <row r="102">
          <cell r="B102" t="str">
            <v>Provitas</v>
          </cell>
          <cell r="C102" t="str">
            <v>(ku/pohon)</v>
          </cell>
          <cell r="D102">
            <v>7.733009708737864</v>
          </cell>
          <cell r="E102">
            <v>0.4</v>
          </cell>
          <cell r="F102">
            <v>0.5</v>
          </cell>
          <cell r="G102">
            <v>0.23997321428571428</v>
          </cell>
          <cell r="H102">
            <v>1.4736842105263157</v>
          </cell>
          <cell r="I102">
            <v>0.24</v>
          </cell>
          <cell r="J102">
            <v>0.49939098660170522</v>
          </cell>
          <cell r="K102">
            <v>5.8823529411764705E-2</v>
          </cell>
          <cell r="L102">
            <v>7.7462047489295444E-2</v>
          </cell>
          <cell r="M102">
            <v>1.6768094218415419</v>
          </cell>
          <cell r="N102">
            <v>0.29841269841269841</v>
          </cell>
          <cell r="O102">
            <v>0.19926199261992619</v>
          </cell>
          <cell r="P102">
            <v>0.51422764227642281</v>
          </cell>
          <cell r="Q102">
            <v>0.04</v>
          </cell>
          <cell r="R102">
            <v>0.02</v>
          </cell>
          <cell r="S102">
            <v>0.2</v>
          </cell>
          <cell r="T102">
            <v>0.16666666666666666</v>
          </cell>
        </row>
        <row r="103">
          <cell r="B103" t="str">
            <v>Harga/kg</v>
          </cell>
          <cell r="C103" t="str">
            <v>Rupiah</v>
          </cell>
          <cell r="D103">
            <v>20000</v>
          </cell>
          <cell r="E103">
            <v>8000</v>
          </cell>
          <cell r="F103">
            <v>15000</v>
          </cell>
          <cell r="G103">
            <v>6000</v>
          </cell>
          <cell r="H103">
            <v>5000</v>
          </cell>
          <cell r="I103">
            <v>8000</v>
          </cell>
          <cell r="J103">
            <v>8000</v>
          </cell>
          <cell r="K103">
            <v>10000</v>
          </cell>
          <cell r="L103">
            <v>6000</v>
          </cell>
          <cell r="M103">
            <v>10000</v>
          </cell>
          <cell r="N103">
            <v>3000</v>
          </cell>
          <cell r="O103">
            <v>6000</v>
          </cell>
          <cell r="P103">
            <v>8000</v>
          </cell>
          <cell r="Q103">
            <v>6000</v>
          </cell>
          <cell r="R103">
            <v>8000</v>
          </cell>
          <cell r="S103">
            <v>7000</v>
          </cell>
          <cell r="T103">
            <v>5000</v>
          </cell>
        </row>
        <row r="104">
          <cell r="A104" t="str">
            <v>Jeruk Lemon</v>
          </cell>
          <cell r="B104" t="str">
            <v>Tan Akhir Trw lalu</v>
          </cell>
          <cell r="C104" t="str">
            <v>Pohon/rumpun</v>
          </cell>
          <cell r="D104">
            <v>0</v>
          </cell>
          <cell r="E104">
            <v>185</v>
          </cell>
          <cell r="F104">
            <v>0</v>
          </cell>
          <cell r="G104">
            <v>4170</v>
          </cell>
          <cell r="H104">
            <v>0</v>
          </cell>
          <cell r="I104">
            <v>4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B105" t="str">
            <v>Selama Triwulan</v>
          </cell>
          <cell r="C105" t="str">
            <v>Bongkar</v>
          </cell>
          <cell r="G105">
            <v>12</v>
          </cell>
        </row>
        <row r="106">
          <cell r="C106" t="str">
            <v>Baru</v>
          </cell>
          <cell r="I106">
            <v>2</v>
          </cell>
        </row>
        <row r="107">
          <cell r="B107" t="str">
            <v xml:space="preserve">∑ Tanaman Akhir </v>
          </cell>
          <cell r="C107" t="str">
            <v>Pohon/rumpun</v>
          </cell>
          <cell r="D107">
            <v>0</v>
          </cell>
          <cell r="E107">
            <v>185</v>
          </cell>
          <cell r="F107">
            <v>0</v>
          </cell>
          <cell r="G107">
            <v>4158</v>
          </cell>
          <cell r="H107">
            <v>0</v>
          </cell>
          <cell r="I107">
            <v>6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Di Akhir Triwulan</v>
          </cell>
          <cell r="C108" t="str">
            <v>TBM</v>
          </cell>
          <cell r="E108">
            <v>132</v>
          </cell>
          <cell r="G108">
            <v>2655</v>
          </cell>
          <cell r="I108">
            <v>3</v>
          </cell>
        </row>
        <row r="109">
          <cell r="C109" t="str">
            <v>TPSM</v>
          </cell>
          <cell r="E109">
            <v>38</v>
          </cell>
          <cell r="G109">
            <v>1220</v>
          </cell>
          <cell r="I109">
            <v>1</v>
          </cell>
        </row>
        <row r="110">
          <cell r="C110" t="str">
            <v>TPBM</v>
          </cell>
          <cell r="D110">
            <v>0</v>
          </cell>
          <cell r="E110">
            <v>15</v>
          </cell>
          <cell r="F110">
            <v>0</v>
          </cell>
          <cell r="G110">
            <v>273</v>
          </cell>
          <cell r="H110">
            <v>0</v>
          </cell>
          <cell r="I110">
            <v>2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C111" t="str">
            <v>TR</v>
          </cell>
          <cell r="G111">
            <v>10</v>
          </cell>
        </row>
        <row r="112">
          <cell r="B112" t="str">
            <v>Produksi</v>
          </cell>
          <cell r="C112" t="str">
            <v>(kuintal)</v>
          </cell>
          <cell r="D112">
            <v>0</v>
          </cell>
          <cell r="E112">
            <v>27</v>
          </cell>
          <cell r="F112">
            <v>0</v>
          </cell>
          <cell r="G112">
            <v>73.2</v>
          </cell>
          <cell r="H112">
            <v>0</v>
          </cell>
          <cell r="I112">
            <v>0.06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B113" t="str">
            <v>Provitas</v>
          </cell>
          <cell r="C113" t="str">
            <v>(ku/pohon)</v>
          </cell>
          <cell r="D113" t="e">
            <v>#DIV/0!</v>
          </cell>
          <cell r="E113">
            <v>0.71052631578947367</v>
          </cell>
          <cell r="F113" t="e">
            <v>#DIV/0!</v>
          </cell>
          <cell r="G113">
            <v>6.0000000000000005E-2</v>
          </cell>
          <cell r="H113" t="e">
            <v>#DIV/0!</v>
          </cell>
          <cell r="I113">
            <v>0.06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</row>
        <row r="114">
          <cell r="B114" t="str">
            <v>Harga/kg</v>
          </cell>
          <cell r="C114" t="str">
            <v>Rupiah</v>
          </cell>
          <cell r="D114">
            <v>0</v>
          </cell>
          <cell r="E114">
            <v>10000</v>
          </cell>
          <cell r="F114">
            <v>0</v>
          </cell>
          <cell r="G114">
            <v>8000</v>
          </cell>
          <cell r="H114">
            <v>0</v>
          </cell>
          <cell r="I114">
            <v>10000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Jeruk Pamelo</v>
          </cell>
          <cell r="B115" t="str">
            <v>Tan Akhir Trw lalu</v>
          </cell>
          <cell r="C115" t="str">
            <v>Pohon/rumpun</v>
          </cell>
          <cell r="D115">
            <v>0</v>
          </cell>
          <cell r="E115">
            <v>230</v>
          </cell>
          <cell r="F115">
            <v>0</v>
          </cell>
          <cell r="G115">
            <v>247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50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>Selama Triwulan</v>
          </cell>
          <cell r="C116" t="str">
            <v>Bongkar</v>
          </cell>
          <cell r="G116">
            <v>3</v>
          </cell>
        </row>
        <row r="117">
          <cell r="C117" t="str">
            <v>Baru</v>
          </cell>
        </row>
        <row r="118">
          <cell r="B118" t="str">
            <v xml:space="preserve">∑ Tanaman Akhir </v>
          </cell>
          <cell r="C118" t="str">
            <v>Pohon/rumpun</v>
          </cell>
          <cell r="D118">
            <v>0</v>
          </cell>
          <cell r="E118">
            <v>230</v>
          </cell>
          <cell r="F118">
            <v>0</v>
          </cell>
          <cell r="G118">
            <v>244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Di Akhir Triwulan</v>
          </cell>
          <cell r="C119" t="str">
            <v>TBM</v>
          </cell>
          <cell r="E119">
            <v>230</v>
          </cell>
          <cell r="G119">
            <v>175</v>
          </cell>
          <cell r="L119">
            <v>38</v>
          </cell>
        </row>
        <row r="120">
          <cell r="C120" t="str">
            <v>TPSM</v>
          </cell>
          <cell r="L120">
            <v>12</v>
          </cell>
        </row>
        <row r="121">
          <cell r="C121" t="str">
            <v>TPBM</v>
          </cell>
          <cell r="D121">
            <v>0</v>
          </cell>
          <cell r="E121">
            <v>0</v>
          </cell>
          <cell r="F121">
            <v>0</v>
          </cell>
          <cell r="G121">
            <v>61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C122" t="str">
            <v>TR</v>
          </cell>
          <cell r="G122">
            <v>8</v>
          </cell>
        </row>
        <row r="123">
          <cell r="B123" t="str">
            <v>Produksi</v>
          </cell>
          <cell r="C123" t="str">
            <v>(kuintal)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4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B124" t="str">
            <v>Provitas</v>
          </cell>
          <cell r="C124" t="str">
            <v>(ku/pohon)</v>
          </cell>
          <cell r="D124" t="e">
            <v>#DIV/0!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>
            <v>0.33333333333333331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  <cell r="R124" t="e">
            <v>#DIV/0!</v>
          </cell>
          <cell r="S124" t="e">
            <v>#DIV/0!</v>
          </cell>
          <cell r="T124" t="e">
            <v>#DIV/0!</v>
          </cell>
        </row>
        <row r="125">
          <cell r="B125" t="str">
            <v>Harga/kg</v>
          </cell>
          <cell r="C125" t="str">
            <v>Rupiah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12000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 t="str">
            <v>Jeruk Siam/Keprok</v>
          </cell>
          <cell r="B126" t="str">
            <v>Tan Akhir Trw lalu</v>
          </cell>
          <cell r="C126" t="str">
            <v>Pohon/rumpun</v>
          </cell>
          <cell r="D126">
            <v>186</v>
          </cell>
          <cell r="E126">
            <v>435</v>
          </cell>
          <cell r="F126">
            <v>0</v>
          </cell>
          <cell r="G126">
            <v>844</v>
          </cell>
          <cell r="H126">
            <v>1110</v>
          </cell>
          <cell r="I126">
            <v>347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B127" t="str">
            <v>Selama Triwulan</v>
          </cell>
          <cell r="C127" t="str">
            <v>Bongkar</v>
          </cell>
          <cell r="G127">
            <v>6</v>
          </cell>
          <cell r="H127">
            <v>11</v>
          </cell>
          <cell r="I127">
            <v>3</v>
          </cell>
        </row>
        <row r="128">
          <cell r="C128" t="str">
            <v>Baru</v>
          </cell>
        </row>
        <row r="129">
          <cell r="B129" t="str">
            <v xml:space="preserve">∑ Tanaman Akhir </v>
          </cell>
          <cell r="C129" t="str">
            <v>Pohon/rumpun</v>
          </cell>
          <cell r="D129">
            <v>186</v>
          </cell>
          <cell r="E129">
            <v>435</v>
          </cell>
          <cell r="F129">
            <v>0</v>
          </cell>
          <cell r="G129">
            <v>838</v>
          </cell>
          <cell r="H129">
            <v>1099</v>
          </cell>
          <cell r="I129">
            <v>344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B130" t="str">
            <v>Di Akhir Triwulan</v>
          </cell>
          <cell r="C130" t="str">
            <v>TBM</v>
          </cell>
          <cell r="D130">
            <v>56</v>
          </cell>
          <cell r="E130">
            <v>300</v>
          </cell>
          <cell r="G130">
            <v>185</v>
          </cell>
          <cell r="H130">
            <v>700</v>
          </cell>
          <cell r="I130">
            <v>180</v>
          </cell>
        </row>
        <row r="131">
          <cell r="C131" t="str">
            <v>TPSM</v>
          </cell>
          <cell r="D131">
            <v>120</v>
          </cell>
          <cell r="G131">
            <v>245</v>
          </cell>
          <cell r="H131">
            <v>80</v>
          </cell>
          <cell r="I131">
            <v>55</v>
          </cell>
        </row>
        <row r="132">
          <cell r="C132" t="str">
            <v>TPBM</v>
          </cell>
          <cell r="D132">
            <v>0</v>
          </cell>
          <cell r="E132">
            <v>135</v>
          </cell>
          <cell r="F132">
            <v>0</v>
          </cell>
          <cell r="G132">
            <v>388</v>
          </cell>
          <cell r="H132">
            <v>319</v>
          </cell>
          <cell r="I132">
            <v>105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C133" t="str">
            <v>TR</v>
          </cell>
          <cell r="D133">
            <v>10</v>
          </cell>
          <cell r="G133">
            <v>20</v>
          </cell>
          <cell r="I133">
            <v>4</v>
          </cell>
        </row>
        <row r="134">
          <cell r="B134" t="str">
            <v>Produksi</v>
          </cell>
          <cell r="C134" t="str">
            <v>(kuintal)</v>
          </cell>
          <cell r="D134">
            <v>12</v>
          </cell>
          <cell r="E134">
            <v>0</v>
          </cell>
          <cell r="F134">
            <v>0</v>
          </cell>
          <cell r="G134">
            <v>34.770000000000003</v>
          </cell>
          <cell r="H134">
            <v>40</v>
          </cell>
          <cell r="I134">
            <v>7.8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B135" t="str">
            <v>Provitas</v>
          </cell>
          <cell r="C135" t="str">
            <v>(ku/pohon)</v>
          </cell>
          <cell r="D135">
            <v>0.1</v>
          </cell>
          <cell r="E135" t="e">
            <v>#DIV/0!</v>
          </cell>
          <cell r="F135" t="e">
            <v>#DIV/0!</v>
          </cell>
          <cell r="G135">
            <v>0.1419183673469388</v>
          </cell>
          <cell r="H135">
            <v>0.5</v>
          </cell>
          <cell r="I135">
            <v>0.14181818181818182</v>
          </cell>
          <cell r="J135" t="e">
            <v>#DIV/0!</v>
          </cell>
          <cell r="K135" t="e">
            <v>#DIV/0!</v>
          </cell>
          <cell r="L135" t="e">
            <v>#DIV/0!</v>
          </cell>
          <cell r="M135" t="e">
            <v>#DIV/0!</v>
          </cell>
          <cell r="N135" t="e">
            <v>#DIV/0!</v>
          </cell>
          <cell r="O135" t="e">
            <v>#DIV/0!</v>
          </cell>
          <cell r="P135" t="e">
            <v>#DIV/0!</v>
          </cell>
          <cell r="Q135" t="e">
            <v>#DIV/0!</v>
          </cell>
          <cell r="R135" t="e">
            <v>#DIV/0!</v>
          </cell>
          <cell r="S135" t="e">
            <v>#DIV/0!</v>
          </cell>
          <cell r="T135" t="e">
            <v>#DIV/0!</v>
          </cell>
        </row>
        <row r="136">
          <cell r="B136" t="str">
            <v>Harga/kg</v>
          </cell>
          <cell r="C136" t="str">
            <v>Rupiah</v>
          </cell>
          <cell r="D136">
            <v>10000</v>
          </cell>
          <cell r="E136">
            <v>0</v>
          </cell>
          <cell r="F136">
            <v>0</v>
          </cell>
          <cell r="G136">
            <v>10000</v>
          </cell>
          <cell r="H136">
            <v>10000</v>
          </cell>
          <cell r="I136">
            <v>8000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Lengkeng</v>
          </cell>
          <cell r="B137" t="str">
            <v>Tan Akhir Trw lalu</v>
          </cell>
          <cell r="C137" t="str">
            <v>Pohon/rumpun</v>
          </cell>
          <cell r="D137">
            <v>400</v>
          </cell>
          <cell r="E137">
            <v>600</v>
          </cell>
          <cell r="F137">
            <v>2507</v>
          </cell>
          <cell r="G137">
            <v>1931</v>
          </cell>
          <cell r="H137">
            <v>3824</v>
          </cell>
          <cell r="I137">
            <v>11578</v>
          </cell>
          <cell r="J137">
            <v>8750</v>
          </cell>
          <cell r="K137">
            <v>150</v>
          </cell>
          <cell r="L137">
            <v>718</v>
          </cell>
          <cell r="M137">
            <v>0</v>
          </cell>
          <cell r="N137">
            <v>0</v>
          </cell>
          <cell r="O137">
            <v>84</v>
          </cell>
          <cell r="P137">
            <v>3034</v>
          </cell>
          <cell r="Q137">
            <v>15</v>
          </cell>
          <cell r="R137">
            <v>0</v>
          </cell>
          <cell r="S137">
            <v>105</v>
          </cell>
          <cell r="T137">
            <v>0</v>
          </cell>
        </row>
        <row r="138">
          <cell r="B138" t="str">
            <v>Selama Triwulan</v>
          </cell>
          <cell r="C138" t="str">
            <v>Bongkar</v>
          </cell>
          <cell r="F138">
            <v>32</v>
          </cell>
          <cell r="G138">
            <v>15</v>
          </cell>
          <cell r="I138">
            <v>3</v>
          </cell>
          <cell r="J138">
            <v>50</v>
          </cell>
          <cell r="L138">
            <v>9</v>
          </cell>
          <cell r="O138">
            <v>5</v>
          </cell>
          <cell r="P138">
            <v>4</v>
          </cell>
        </row>
        <row r="139">
          <cell r="C139" t="str">
            <v>Baru</v>
          </cell>
          <cell r="G139">
            <v>2</v>
          </cell>
          <cell r="O139">
            <v>17</v>
          </cell>
          <cell r="P139">
            <v>2000</v>
          </cell>
        </row>
        <row r="140">
          <cell r="B140" t="str">
            <v xml:space="preserve">∑ Tanaman Akhir </v>
          </cell>
          <cell r="C140" t="str">
            <v>Pohon/rumpun</v>
          </cell>
          <cell r="D140">
            <v>400</v>
          </cell>
          <cell r="E140">
            <v>600</v>
          </cell>
          <cell r="F140">
            <v>2475</v>
          </cell>
          <cell r="G140">
            <v>1918</v>
          </cell>
          <cell r="H140">
            <v>3824</v>
          </cell>
          <cell r="I140">
            <v>11575</v>
          </cell>
          <cell r="J140">
            <v>8700</v>
          </cell>
          <cell r="K140">
            <v>150</v>
          </cell>
          <cell r="L140">
            <v>709</v>
          </cell>
          <cell r="M140">
            <v>0</v>
          </cell>
          <cell r="N140">
            <v>0</v>
          </cell>
          <cell r="O140">
            <v>96</v>
          </cell>
          <cell r="P140">
            <v>5030</v>
          </cell>
          <cell r="Q140">
            <v>15</v>
          </cell>
          <cell r="R140">
            <v>0</v>
          </cell>
          <cell r="S140">
            <v>105</v>
          </cell>
          <cell r="T140">
            <v>0</v>
          </cell>
        </row>
        <row r="141">
          <cell r="B141" t="str">
            <v>Di Akhir Triwulan</v>
          </cell>
          <cell r="C141" t="str">
            <v>TBM</v>
          </cell>
          <cell r="D141">
            <v>194</v>
          </cell>
          <cell r="E141">
            <v>490</v>
          </cell>
          <cell r="F141">
            <v>1489</v>
          </cell>
          <cell r="G141">
            <v>1895</v>
          </cell>
          <cell r="H141">
            <v>3824</v>
          </cell>
          <cell r="I141">
            <v>10655</v>
          </cell>
          <cell r="K141">
            <v>100</v>
          </cell>
          <cell r="L141">
            <v>604</v>
          </cell>
          <cell r="O141">
            <v>19</v>
          </cell>
          <cell r="P141">
            <v>820</v>
          </cell>
          <cell r="Q141">
            <v>15</v>
          </cell>
          <cell r="S141">
            <v>105</v>
          </cell>
        </row>
        <row r="142">
          <cell r="C142" t="str">
            <v>TPSM</v>
          </cell>
          <cell r="D142">
            <v>200</v>
          </cell>
          <cell r="E142">
            <v>42</v>
          </cell>
          <cell r="F142">
            <v>302</v>
          </cell>
          <cell r="I142">
            <v>112</v>
          </cell>
          <cell r="J142">
            <v>8700</v>
          </cell>
          <cell r="K142">
            <v>50</v>
          </cell>
          <cell r="L142">
            <v>93</v>
          </cell>
          <cell r="O142">
            <v>72</v>
          </cell>
          <cell r="P142">
            <v>4210</v>
          </cell>
        </row>
        <row r="143">
          <cell r="C143" t="str">
            <v>TPBM</v>
          </cell>
          <cell r="D143">
            <v>0</v>
          </cell>
          <cell r="E143">
            <v>68</v>
          </cell>
          <cell r="F143">
            <v>530</v>
          </cell>
          <cell r="G143">
            <v>23</v>
          </cell>
          <cell r="H143">
            <v>0</v>
          </cell>
          <cell r="I143">
            <v>808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C144" t="str">
            <v>TR</v>
          </cell>
          <cell r="D144">
            <v>6</v>
          </cell>
          <cell r="F144">
            <v>154</v>
          </cell>
          <cell r="L144">
            <v>12</v>
          </cell>
          <cell r="O144">
            <v>5</v>
          </cell>
        </row>
        <row r="145">
          <cell r="B145" t="str">
            <v>Produksi</v>
          </cell>
          <cell r="C145" t="str">
            <v>(kuintal)</v>
          </cell>
          <cell r="D145">
            <v>20</v>
          </cell>
          <cell r="E145">
            <v>17</v>
          </cell>
          <cell r="F145">
            <v>302</v>
          </cell>
          <cell r="G145">
            <v>0</v>
          </cell>
          <cell r="H145">
            <v>0</v>
          </cell>
          <cell r="I145">
            <v>28</v>
          </cell>
          <cell r="J145">
            <v>1740</v>
          </cell>
          <cell r="K145">
            <v>10</v>
          </cell>
          <cell r="L145">
            <v>8</v>
          </cell>
          <cell r="M145">
            <v>0</v>
          </cell>
          <cell r="N145">
            <v>0</v>
          </cell>
          <cell r="O145">
            <v>35.909999999999997</v>
          </cell>
          <cell r="P145">
            <v>143.1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B146" t="str">
            <v>Provitas</v>
          </cell>
          <cell r="C146" t="str">
            <v>(ku/pohon)</v>
          </cell>
          <cell r="D146">
            <v>0.1</v>
          </cell>
          <cell r="E146">
            <v>0.40476190476190477</v>
          </cell>
          <cell r="F146">
            <v>1</v>
          </cell>
          <cell r="G146" t="e">
            <v>#DIV/0!</v>
          </cell>
          <cell r="H146" t="e">
            <v>#DIV/0!</v>
          </cell>
          <cell r="I146">
            <v>0.25</v>
          </cell>
          <cell r="J146">
            <v>0.2</v>
          </cell>
          <cell r="K146">
            <v>0.2</v>
          </cell>
          <cell r="L146">
            <v>8.6021505376344093E-2</v>
          </cell>
          <cell r="M146" t="e">
            <v>#DIV/0!</v>
          </cell>
          <cell r="N146" t="e">
            <v>#DIV/0!</v>
          </cell>
          <cell r="O146">
            <v>0.49874999999999997</v>
          </cell>
          <cell r="P146">
            <v>3.3990498812351541E-2</v>
          </cell>
          <cell r="Q146" t="e">
            <v>#DIV/0!</v>
          </cell>
          <cell r="R146" t="e">
            <v>#DIV/0!</v>
          </cell>
          <cell r="S146" t="e">
            <v>#DIV/0!</v>
          </cell>
          <cell r="T146" t="e">
            <v>#DIV/0!</v>
          </cell>
        </row>
        <row r="147">
          <cell r="B147" t="str">
            <v>Harga/kg</v>
          </cell>
          <cell r="C147" t="str">
            <v>Rupiah</v>
          </cell>
          <cell r="D147">
            <v>28000</v>
          </cell>
          <cell r="E147">
            <v>25000</v>
          </cell>
          <cell r="F147">
            <v>50000</v>
          </cell>
          <cell r="G147">
            <v>0</v>
          </cell>
          <cell r="H147">
            <v>0</v>
          </cell>
          <cell r="I147">
            <v>35000</v>
          </cell>
          <cell r="J147">
            <v>40000</v>
          </cell>
          <cell r="K147">
            <v>25000</v>
          </cell>
          <cell r="L147">
            <v>19000</v>
          </cell>
          <cell r="M147">
            <v>0</v>
          </cell>
          <cell r="N147">
            <v>0</v>
          </cell>
          <cell r="O147">
            <v>60000</v>
          </cell>
          <cell r="P147">
            <v>25000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 t="str">
            <v>Mangga</v>
          </cell>
          <cell r="B148" t="str">
            <v>Tan Akhir Trw lalu</v>
          </cell>
          <cell r="C148" t="str">
            <v>Pohon/rumpun</v>
          </cell>
          <cell r="D148">
            <v>5000</v>
          </cell>
          <cell r="E148">
            <v>29585</v>
          </cell>
          <cell r="F148">
            <v>11534</v>
          </cell>
          <cell r="G148">
            <v>16269</v>
          </cell>
          <cell r="H148">
            <v>7255</v>
          </cell>
          <cell r="I148">
            <v>19103</v>
          </cell>
          <cell r="J148">
            <v>10017</v>
          </cell>
          <cell r="K148">
            <v>45000</v>
          </cell>
          <cell r="L148">
            <v>94115</v>
          </cell>
          <cell r="M148">
            <v>47455</v>
          </cell>
          <cell r="N148">
            <v>5750</v>
          </cell>
          <cell r="O148">
            <v>4807</v>
          </cell>
          <cell r="P148">
            <v>23341</v>
          </cell>
          <cell r="Q148">
            <v>8312</v>
          </cell>
          <cell r="R148">
            <v>5447</v>
          </cell>
          <cell r="S148">
            <v>985</v>
          </cell>
          <cell r="T148">
            <v>28995</v>
          </cell>
        </row>
        <row r="149">
          <cell r="B149" t="str">
            <v>Selama Triwulan</v>
          </cell>
          <cell r="C149" t="str">
            <v>Bongkar</v>
          </cell>
          <cell r="E149">
            <v>14</v>
          </cell>
          <cell r="F149">
            <v>334</v>
          </cell>
          <cell r="G149">
            <v>45</v>
          </cell>
          <cell r="H149">
            <v>27</v>
          </cell>
          <cell r="I149">
            <v>46</v>
          </cell>
          <cell r="J149">
            <v>30</v>
          </cell>
          <cell r="K149">
            <v>100</v>
          </cell>
          <cell r="L149">
            <v>204</v>
          </cell>
          <cell r="M149">
            <v>564</v>
          </cell>
          <cell r="O149">
            <v>1442</v>
          </cell>
          <cell r="P149">
            <v>8</v>
          </cell>
          <cell r="Q149">
            <v>319</v>
          </cell>
        </row>
        <row r="150">
          <cell r="C150" t="str">
            <v>Baru</v>
          </cell>
          <cell r="G150">
            <v>10</v>
          </cell>
          <cell r="H150">
            <v>11</v>
          </cell>
          <cell r="I150">
            <v>12</v>
          </cell>
          <cell r="K150">
            <v>10</v>
          </cell>
          <cell r="N150">
            <v>50</v>
          </cell>
          <cell r="O150">
            <v>961</v>
          </cell>
          <cell r="P150">
            <v>4</v>
          </cell>
        </row>
        <row r="151">
          <cell r="B151" t="str">
            <v xml:space="preserve">∑ Tanaman Akhir </v>
          </cell>
          <cell r="C151" t="str">
            <v>Pohon/rumpun</v>
          </cell>
          <cell r="D151">
            <v>5000</v>
          </cell>
          <cell r="E151">
            <v>29571</v>
          </cell>
          <cell r="F151">
            <v>11200</v>
          </cell>
          <cell r="G151">
            <v>16234</v>
          </cell>
          <cell r="H151">
            <v>7239</v>
          </cell>
          <cell r="I151">
            <v>19069</v>
          </cell>
          <cell r="J151">
            <v>9987</v>
          </cell>
          <cell r="K151">
            <v>44910</v>
          </cell>
          <cell r="L151">
            <v>93911</v>
          </cell>
          <cell r="M151">
            <v>46891</v>
          </cell>
          <cell r="N151">
            <v>5800</v>
          </cell>
          <cell r="O151">
            <v>4326</v>
          </cell>
          <cell r="P151">
            <v>23337</v>
          </cell>
          <cell r="Q151">
            <v>7993</v>
          </cell>
          <cell r="R151">
            <v>5447</v>
          </cell>
          <cell r="S151">
            <v>985</v>
          </cell>
          <cell r="T151">
            <v>28995</v>
          </cell>
        </row>
        <row r="152">
          <cell r="B152" t="str">
            <v>Di Akhir Triwulan</v>
          </cell>
          <cell r="C152" t="str">
            <v>TBM</v>
          </cell>
          <cell r="D152">
            <v>916</v>
          </cell>
          <cell r="E152">
            <v>8500</v>
          </cell>
          <cell r="F152">
            <v>6324</v>
          </cell>
          <cell r="G152">
            <v>2046</v>
          </cell>
          <cell r="H152">
            <v>1020</v>
          </cell>
          <cell r="I152">
            <v>4125</v>
          </cell>
          <cell r="K152">
            <v>1200</v>
          </cell>
          <cell r="L152">
            <v>93408</v>
          </cell>
          <cell r="M152">
            <v>39345</v>
          </cell>
          <cell r="N152">
            <v>5000</v>
          </cell>
          <cell r="O152">
            <v>865</v>
          </cell>
          <cell r="P152">
            <v>21720</v>
          </cell>
          <cell r="Q152">
            <v>1121</v>
          </cell>
          <cell r="R152">
            <v>5284</v>
          </cell>
          <cell r="S152">
            <v>985</v>
          </cell>
          <cell r="T152">
            <v>115</v>
          </cell>
        </row>
        <row r="153">
          <cell r="C153" t="str">
            <v>TPSM</v>
          </cell>
          <cell r="D153">
            <v>4080</v>
          </cell>
          <cell r="E153">
            <v>1032</v>
          </cell>
          <cell r="F153">
            <v>3967</v>
          </cell>
          <cell r="J153">
            <v>9987</v>
          </cell>
          <cell r="K153">
            <v>43210</v>
          </cell>
          <cell r="L153">
            <v>136</v>
          </cell>
          <cell r="M153">
            <v>7546</v>
          </cell>
          <cell r="N153">
            <v>800</v>
          </cell>
          <cell r="O153">
            <v>3245</v>
          </cell>
          <cell r="P153">
            <v>1617</v>
          </cell>
          <cell r="Q153">
            <v>6744</v>
          </cell>
          <cell r="R153">
            <v>145</v>
          </cell>
          <cell r="T153">
            <v>159</v>
          </cell>
        </row>
        <row r="154">
          <cell r="C154" t="str">
            <v>TPBM</v>
          </cell>
          <cell r="D154">
            <v>0</v>
          </cell>
          <cell r="E154">
            <v>20039</v>
          </cell>
          <cell r="F154">
            <v>815</v>
          </cell>
          <cell r="G154">
            <v>14108</v>
          </cell>
          <cell r="H154">
            <v>6219</v>
          </cell>
          <cell r="I154">
            <v>14926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28721</v>
          </cell>
        </row>
        <row r="155">
          <cell r="C155" t="str">
            <v>TR</v>
          </cell>
          <cell r="D155">
            <v>4</v>
          </cell>
          <cell r="F155">
            <v>94</v>
          </cell>
          <cell r="G155">
            <v>80</v>
          </cell>
          <cell r="I155">
            <v>18</v>
          </cell>
          <cell r="K155">
            <v>500</v>
          </cell>
          <cell r="L155">
            <v>367</v>
          </cell>
          <cell r="O155">
            <v>216</v>
          </cell>
          <cell r="Q155">
            <v>128</v>
          </cell>
          <cell r="R155">
            <v>18</v>
          </cell>
        </row>
        <row r="156">
          <cell r="B156" t="str">
            <v>Produksi</v>
          </cell>
          <cell r="C156" t="str">
            <v>(kuintal)</v>
          </cell>
          <cell r="D156">
            <v>684.24</v>
          </cell>
          <cell r="E156">
            <v>1032</v>
          </cell>
          <cell r="F156">
            <v>3847.99</v>
          </cell>
          <cell r="G156">
            <v>0</v>
          </cell>
          <cell r="H156">
            <v>0</v>
          </cell>
          <cell r="I156">
            <v>0</v>
          </cell>
          <cell r="J156">
            <v>4993</v>
          </cell>
          <cell r="K156">
            <v>2110</v>
          </cell>
          <cell r="L156">
            <v>80</v>
          </cell>
          <cell r="M156">
            <v>5282</v>
          </cell>
          <cell r="N156">
            <v>800</v>
          </cell>
          <cell r="O156">
            <v>3894</v>
          </cell>
          <cell r="P156">
            <v>97</v>
          </cell>
          <cell r="Q156">
            <v>337.2</v>
          </cell>
          <cell r="R156">
            <v>58</v>
          </cell>
          <cell r="S156">
            <v>0</v>
          </cell>
          <cell r="T156">
            <v>161</v>
          </cell>
        </row>
        <row r="157">
          <cell r="B157" t="str">
            <v>Provitas</v>
          </cell>
          <cell r="C157" t="str">
            <v>(ku/pohon)</v>
          </cell>
          <cell r="D157">
            <v>0.16770588235294118</v>
          </cell>
          <cell r="E157">
            <v>1</v>
          </cell>
          <cell r="F157">
            <v>0.97</v>
          </cell>
          <cell r="G157" t="e">
            <v>#DIV/0!</v>
          </cell>
          <cell r="H157" t="e">
            <v>#DIV/0!</v>
          </cell>
          <cell r="I157" t="e">
            <v>#DIV/0!</v>
          </cell>
          <cell r="J157">
            <v>0.49994993491539003</v>
          </cell>
          <cell r="K157">
            <v>4.8831289053459848E-2</v>
          </cell>
          <cell r="L157">
            <v>0.58823529411764708</v>
          </cell>
          <cell r="M157">
            <v>0.6999734958918632</v>
          </cell>
          <cell r="N157">
            <v>1</v>
          </cell>
          <cell r="O157">
            <v>1.2</v>
          </cell>
          <cell r="P157">
            <v>5.9987631416202843E-2</v>
          </cell>
          <cell r="Q157">
            <v>4.9999999999999996E-2</v>
          </cell>
          <cell r="R157">
            <v>0.4</v>
          </cell>
          <cell r="S157" t="e">
            <v>#DIV/0!</v>
          </cell>
          <cell r="T157">
            <v>1.0125786163522013</v>
          </cell>
        </row>
        <row r="158">
          <cell r="B158" t="str">
            <v>Harga/kg</v>
          </cell>
          <cell r="C158" t="str">
            <v>Rupiah</v>
          </cell>
          <cell r="D158">
            <v>22000</v>
          </cell>
          <cell r="E158">
            <v>13000</v>
          </cell>
          <cell r="F158">
            <v>20000</v>
          </cell>
          <cell r="J158">
            <v>12000</v>
          </cell>
          <cell r="K158">
            <v>20000</v>
          </cell>
          <cell r="L158">
            <v>15000</v>
          </cell>
          <cell r="M158">
            <v>15000</v>
          </cell>
          <cell r="N158">
            <v>17000</v>
          </cell>
          <cell r="O158">
            <v>14000</v>
          </cell>
          <cell r="P158">
            <v>15000</v>
          </cell>
          <cell r="Q158">
            <v>5500</v>
          </cell>
          <cell r="R158">
            <v>10000</v>
          </cell>
          <cell r="T158">
            <v>7000</v>
          </cell>
        </row>
        <row r="159">
          <cell r="A159" t="str">
            <v>Manggis</v>
          </cell>
          <cell r="B159" t="str">
            <v>Tan Akhir Trw lalu</v>
          </cell>
          <cell r="C159" t="str">
            <v>Pohon/rumpun</v>
          </cell>
          <cell r="D159">
            <v>1260</v>
          </cell>
          <cell r="E159">
            <v>1450</v>
          </cell>
          <cell r="F159">
            <v>66</v>
          </cell>
          <cell r="G159">
            <v>338</v>
          </cell>
          <cell r="H159">
            <v>269</v>
          </cell>
          <cell r="I159">
            <v>340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B160" t="str">
            <v>Selama Triwulan</v>
          </cell>
          <cell r="C160" t="str">
            <v>Bongkar</v>
          </cell>
          <cell r="E160">
            <v>21</v>
          </cell>
          <cell r="F160">
            <v>13</v>
          </cell>
          <cell r="G160">
            <v>4</v>
          </cell>
        </row>
        <row r="161">
          <cell r="C161" t="str">
            <v>Baru</v>
          </cell>
        </row>
        <row r="162">
          <cell r="B162" t="str">
            <v xml:space="preserve">∑ Tanaman Akhir </v>
          </cell>
          <cell r="C162" t="str">
            <v>Pohon/rumpun</v>
          </cell>
          <cell r="D162">
            <v>1260</v>
          </cell>
          <cell r="E162">
            <v>1429</v>
          </cell>
          <cell r="F162">
            <v>53</v>
          </cell>
          <cell r="G162">
            <v>334</v>
          </cell>
          <cell r="H162">
            <v>269</v>
          </cell>
          <cell r="I162">
            <v>340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B163" t="str">
            <v>Di Akhir Triwulan</v>
          </cell>
          <cell r="C163" t="str">
            <v>TBM</v>
          </cell>
          <cell r="D163">
            <v>690</v>
          </cell>
          <cell r="E163">
            <v>875</v>
          </cell>
          <cell r="F163">
            <v>31</v>
          </cell>
          <cell r="G163">
            <v>125</v>
          </cell>
          <cell r="H163">
            <v>250</v>
          </cell>
          <cell r="I163">
            <v>115</v>
          </cell>
        </row>
        <row r="164">
          <cell r="C164" t="str">
            <v>TPSM</v>
          </cell>
          <cell r="D164">
            <v>560</v>
          </cell>
          <cell r="E164">
            <v>434</v>
          </cell>
          <cell r="F164">
            <v>13</v>
          </cell>
          <cell r="G164">
            <v>46</v>
          </cell>
          <cell r="I164">
            <v>51</v>
          </cell>
        </row>
        <row r="165">
          <cell r="C165" t="str">
            <v>TPBM</v>
          </cell>
          <cell r="D165">
            <v>0</v>
          </cell>
          <cell r="E165">
            <v>120</v>
          </cell>
          <cell r="F165">
            <v>6</v>
          </cell>
          <cell r="G165">
            <v>151</v>
          </cell>
          <cell r="H165">
            <v>19</v>
          </cell>
          <cell r="I165">
            <v>174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C166" t="str">
            <v>TR</v>
          </cell>
          <cell r="D166">
            <v>10</v>
          </cell>
          <cell r="F166">
            <v>3</v>
          </cell>
          <cell r="G166">
            <v>12</v>
          </cell>
        </row>
        <row r="167">
          <cell r="B167" t="str">
            <v>Produksi</v>
          </cell>
          <cell r="C167" t="str">
            <v>(kuintal)</v>
          </cell>
          <cell r="D167">
            <v>68</v>
          </cell>
          <cell r="E167">
            <v>434</v>
          </cell>
          <cell r="F167">
            <v>13</v>
          </cell>
          <cell r="G167">
            <v>11.58</v>
          </cell>
          <cell r="H167">
            <v>0</v>
          </cell>
          <cell r="I167">
            <v>12.85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B168" t="str">
            <v>Provitas</v>
          </cell>
          <cell r="C168" t="str">
            <v>(ku/pohon)</v>
          </cell>
          <cell r="D168">
            <v>0.12142857142857143</v>
          </cell>
          <cell r="E168">
            <v>1</v>
          </cell>
          <cell r="F168">
            <v>1</v>
          </cell>
          <cell r="G168">
            <v>0.25173913043478263</v>
          </cell>
          <cell r="H168" t="e">
            <v>#DIV/0!</v>
          </cell>
          <cell r="I168">
            <v>0.25196078431372548</v>
          </cell>
          <cell r="J168" t="e">
            <v>#DIV/0!</v>
          </cell>
          <cell r="K168" t="e">
            <v>#DIV/0!</v>
          </cell>
          <cell r="L168" t="e">
            <v>#DIV/0!</v>
          </cell>
          <cell r="M168" t="e">
            <v>#DIV/0!</v>
          </cell>
          <cell r="N168" t="e">
            <v>#DIV/0!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</row>
        <row r="169">
          <cell r="B169" t="str">
            <v>Harga/kg</v>
          </cell>
          <cell r="C169" t="str">
            <v>Rupiah</v>
          </cell>
          <cell r="D169">
            <v>14000</v>
          </cell>
          <cell r="E169">
            <v>14000</v>
          </cell>
          <cell r="F169">
            <v>30000</v>
          </cell>
          <cell r="G169">
            <v>9000</v>
          </cell>
          <cell r="H169">
            <v>0</v>
          </cell>
          <cell r="I169">
            <v>12000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 t="str">
            <v>Nenas *)</v>
          </cell>
          <cell r="B170" t="str">
            <v>Tan Akhir Trw lalu</v>
          </cell>
          <cell r="C170" t="str">
            <v>Pohon/rumpun</v>
          </cell>
          <cell r="D170">
            <v>1175</v>
          </cell>
          <cell r="E170">
            <v>2000</v>
          </cell>
          <cell r="F170">
            <v>0</v>
          </cell>
          <cell r="G170">
            <v>0</v>
          </cell>
          <cell r="H170">
            <v>0</v>
          </cell>
          <cell r="I170">
            <v>40017</v>
          </cell>
          <cell r="J170">
            <v>0</v>
          </cell>
          <cell r="K170">
            <v>0</v>
          </cell>
          <cell r="L170">
            <v>1582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B171" t="str">
            <v>Selama Triwulan</v>
          </cell>
          <cell r="C171" t="str">
            <v>Bongkar</v>
          </cell>
          <cell r="E171">
            <v>55</v>
          </cell>
          <cell r="I171">
            <v>320</v>
          </cell>
          <cell r="L171">
            <v>39</v>
          </cell>
        </row>
        <row r="172">
          <cell r="C172" t="str">
            <v>Baru</v>
          </cell>
        </row>
        <row r="173">
          <cell r="B173" t="str">
            <v xml:space="preserve">∑ Tanaman Akhir </v>
          </cell>
          <cell r="C173" t="str">
            <v>Pohon/rumpun</v>
          </cell>
          <cell r="D173">
            <v>1175</v>
          </cell>
          <cell r="E173">
            <v>1945</v>
          </cell>
          <cell r="F173">
            <v>0</v>
          </cell>
          <cell r="G173">
            <v>0</v>
          </cell>
          <cell r="H173">
            <v>0</v>
          </cell>
          <cell r="I173">
            <v>39697</v>
          </cell>
          <cell r="J173">
            <v>0</v>
          </cell>
          <cell r="K173">
            <v>0</v>
          </cell>
          <cell r="L173">
            <v>1543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B174" t="str">
            <v>Di Akhir Triwulan</v>
          </cell>
          <cell r="C174" t="str">
            <v>TBM</v>
          </cell>
          <cell r="D174">
            <v>259</v>
          </cell>
          <cell r="E174">
            <v>1445</v>
          </cell>
          <cell r="I174">
            <v>4420</v>
          </cell>
          <cell r="L174">
            <v>1327</v>
          </cell>
        </row>
        <row r="175">
          <cell r="C175" t="str">
            <v>TPSM</v>
          </cell>
          <cell r="D175">
            <v>900</v>
          </cell>
          <cell r="E175">
            <v>434</v>
          </cell>
          <cell r="I175">
            <v>1120</v>
          </cell>
          <cell r="L175">
            <v>205</v>
          </cell>
        </row>
        <row r="176">
          <cell r="C176" t="str">
            <v>TPBM</v>
          </cell>
          <cell r="D176">
            <v>0</v>
          </cell>
          <cell r="E176">
            <v>66</v>
          </cell>
          <cell r="F176">
            <v>0</v>
          </cell>
          <cell r="G176">
            <v>0</v>
          </cell>
          <cell r="H176">
            <v>0</v>
          </cell>
          <cell r="I176">
            <v>33917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C177" t="str">
            <v>TR</v>
          </cell>
          <cell r="D177">
            <v>16</v>
          </cell>
          <cell r="I177">
            <v>240</v>
          </cell>
          <cell r="L177">
            <v>11</v>
          </cell>
        </row>
        <row r="178">
          <cell r="B178" t="str">
            <v>Produksi</v>
          </cell>
          <cell r="C178" t="str">
            <v>(kuintal)</v>
          </cell>
          <cell r="D178">
            <v>72</v>
          </cell>
          <cell r="E178">
            <v>9</v>
          </cell>
          <cell r="F178">
            <v>0</v>
          </cell>
          <cell r="G178">
            <v>0</v>
          </cell>
          <cell r="H178">
            <v>0</v>
          </cell>
          <cell r="I178">
            <v>280</v>
          </cell>
          <cell r="J178">
            <v>0</v>
          </cell>
          <cell r="K178">
            <v>0</v>
          </cell>
          <cell r="L178">
            <v>8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B179" t="str">
            <v>Provitas</v>
          </cell>
          <cell r="C179" t="str">
            <v>(ku/pohon)</v>
          </cell>
          <cell r="D179">
            <v>0.08</v>
          </cell>
          <cell r="E179">
            <v>2.0737327188940093E-2</v>
          </cell>
          <cell r="F179" t="e">
            <v>#DIV/0!</v>
          </cell>
          <cell r="G179" t="e">
            <v>#DIV/0!</v>
          </cell>
          <cell r="H179" t="e">
            <v>#DIV/0!</v>
          </cell>
          <cell r="I179">
            <v>0.25</v>
          </cell>
          <cell r="J179" t="e">
            <v>#DIV/0!</v>
          </cell>
          <cell r="K179" t="e">
            <v>#DIV/0!</v>
          </cell>
          <cell r="L179">
            <v>3.9024390243902439E-2</v>
          </cell>
          <cell r="M179" t="e">
            <v>#DIV/0!</v>
          </cell>
          <cell r="N179" t="e">
            <v>#DIV/0!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</row>
        <row r="180">
          <cell r="B180" t="str">
            <v>Harga/kg</v>
          </cell>
          <cell r="C180" t="str">
            <v>Rupiah</v>
          </cell>
          <cell r="D180">
            <v>6000</v>
          </cell>
          <cell r="E180">
            <v>7000</v>
          </cell>
          <cell r="F180">
            <v>0</v>
          </cell>
          <cell r="G180">
            <v>0</v>
          </cell>
          <cell r="H180">
            <v>0</v>
          </cell>
          <cell r="I180">
            <v>7000</v>
          </cell>
          <cell r="J180">
            <v>0</v>
          </cell>
          <cell r="K180">
            <v>0</v>
          </cell>
          <cell r="L180">
            <v>5000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 t="str">
            <v>Nangka/cempedak</v>
          </cell>
          <cell r="B181" t="str">
            <v>Tan Akhir Trw lalu</v>
          </cell>
          <cell r="C181" t="str">
            <v>Pohon/rumpun</v>
          </cell>
          <cell r="D181">
            <v>1700</v>
          </cell>
          <cell r="E181">
            <v>440</v>
          </cell>
          <cell r="F181">
            <v>662</v>
          </cell>
          <cell r="G181">
            <v>6649</v>
          </cell>
          <cell r="H181">
            <v>1226</v>
          </cell>
          <cell r="I181">
            <v>415</v>
          </cell>
          <cell r="J181">
            <v>89</v>
          </cell>
          <cell r="K181">
            <v>1000</v>
          </cell>
          <cell r="L181">
            <v>3261</v>
          </cell>
          <cell r="M181">
            <v>3681</v>
          </cell>
          <cell r="N181">
            <v>200</v>
          </cell>
          <cell r="O181">
            <v>120</v>
          </cell>
          <cell r="P181">
            <v>10</v>
          </cell>
          <cell r="Q181">
            <v>440</v>
          </cell>
          <cell r="R181">
            <v>109</v>
          </cell>
          <cell r="S181">
            <v>410</v>
          </cell>
          <cell r="T181">
            <v>31</v>
          </cell>
        </row>
        <row r="182">
          <cell r="B182" t="str">
            <v>Selama Triwulan</v>
          </cell>
          <cell r="C182" t="str">
            <v>Bongkar</v>
          </cell>
          <cell r="E182">
            <v>5</v>
          </cell>
          <cell r="G182">
            <v>25</v>
          </cell>
          <cell r="I182">
            <v>3</v>
          </cell>
          <cell r="K182">
            <v>10</v>
          </cell>
          <cell r="L182">
            <v>46</v>
          </cell>
          <cell r="M182">
            <v>15</v>
          </cell>
          <cell r="O182">
            <v>4</v>
          </cell>
          <cell r="P182">
            <v>1</v>
          </cell>
          <cell r="Q182">
            <v>25</v>
          </cell>
          <cell r="R182">
            <v>9</v>
          </cell>
        </row>
        <row r="183">
          <cell r="C183" t="str">
            <v>Baru</v>
          </cell>
          <cell r="I183">
            <v>5</v>
          </cell>
          <cell r="N183">
            <v>10</v>
          </cell>
          <cell r="O183">
            <v>24</v>
          </cell>
        </row>
        <row r="184">
          <cell r="B184" t="str">
            <v xml:space="preserve">∑ Tanaman Akhir </v>
          </cell>
          <cell r="C184" t="str">
            <v>Pohon/rumpun</v>
          </cell>
          <cell r="D184">
            <v>1700</v>
          </cell>
          <cell r="E184">
            <v>435</v>
          </cell>
          <cell r="F184">
            <v>662</v>
          </cell>
          <cell r="G184">
            <v>6624</v>
          </cell>
          <cell r="H184">
            <v>1226</v>
          </cell>
          <cell r="I184">
            <v>417</v>
          </cell>
          <cell r="J184">
            <v>89</v>
          </cell>
          <cell r="K184">
            <v>990</v>
          </cell>
          <cell r="L184">
            <v>3215</v>
          </cell>
          <cell r="M184">
            <v>3666</v>
          </cell>
          <cell r="N184">
            <v>210</v>
          </cell>
          <cell r="O184">
            <v>140</v>
          </cell>
          <cell r="P184">
            <v>9</v>
          </cell>
          <cell r="Q184">
            <v>415</v>
          </cell>
          <cell r="R184">
            <v>100</v>
          </cell>
          <cell r="S184">
            <v>410</v>
          </cell>
          <cell r="T184">
            <v>31</v>
          </cell>
        </row>
        <row r="185">
          <cell r="B185" t="str">
            <v>Di Akhir Triwulan</v>
          </cell>
          <cell r="C185" t="str">
            <v>TBM</v>
          </cell>
          <cell r="D185">
            <v>184</v>
          </cell>
          <cell r="E185">
            <v>155</v>
          </cell>
          <cell r="F185">
            <v>125</v>
          </cell>
          <cell r="G185">
            <v>1310</v>
          </cell>
          <cell r="H185">
            <v>520</v>
          </cell>
          <cell r="I185">
            <v>5</v>
          </cell>
          <cell r="K185">
            <v>100</v>
          </cell>
          <cell r="L185">
            <v>1360</v>
          </cell>
          <cell r="M185">
            <v>2501</v>
          </cell>
          <cell r="N185">
            <v>5</v>
          </cell>
          <cell r="O185">
            <v>28</v>
          </cell>
          <cell r="P185">
            <v>6</v>
          </cell>
          <cell r="Q185">
            <v>162</v>
          </cell>
          <cell r="R185">
            <v>84</v>
          </cell>
          <cell r="S185">
            <v>230</v>
          </cell>
          <cell r="T185">
            <v>8</v>
          </cell>
        </row>
        <row r="186">
          <cell r="C186" t="str">
            <v>TPSM</v>
          </cell>
          <cell r="D186">
            <v>1500</v>
          </cell>
          <cell r="F186">
            <v>520</v>
          </cell>
          <cell r="G186">
            <v>1650</v>
          </cell>
          <cell r="H186">
            <v>473</v>
          </cell>
          <cell r="I186">
            <v>48</v>
          </cell>
          <cell r="J186">
            <v>89</v>
          </cell>
          <cell r="K186">
            <v>880</v>
          </cell>
          <cell r="L186">
            <v>1806</v>
          </cell>
          <cell r="M186">
            <v>1165</v>
          </cell>
          <cell r="N186">
            <v>205</v>
          </cell>
          <cell r="O186">
            <v>105</v>
          </cell>
          <cell r="P186">
            <v>3</v>
          </cell>
          <cell r="Q186">
            <v>235</v>
          </cell>
          <cell r="R186">
            <v>11</v>
          </cell>
          <cell r="S186">
            <v>180</v>
          </cell>
        </row>
        <row r="187">
          <cell r="C187" t="str">
            <v>TPBM</v>
          </cell>
          <cell r="D187">
            <v>0</v>
          </cell>
          <cell r="E187">
            <v>280</v>
          </cell>
          <cell r="F187">
            <v>17</v>
          </cell>
          <cell r="G187">
            <v>3574</v>
          </cell>
          <cell r="H187">
            <v>233</v>
          </cell>
          <cell r="I187">
            <v>360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23</v>
          </cell>
        </row>
        <row r="188">
          <cell r="C188" t="str">
            <v>TR</v>
          </cell>
          <cell r="D188">
            <v>16</v>
          </cell>
          <cell r="G188">
            <v>90</v>
          </cell>
          <cell r="I188">
            <v>4</v>
          </cell>
          <cell r="K188">
            <v>10</v>
          </cell>
          <cell r="L188">
            <v>49</v>
          </cell>
          <cell r="O188">
            <v>7</v>
          </cell>
          <cell r="Q188">
            <v>18</v>
          </cell>
          <cell r="R188">
            <v>5</v>
          </cell>
        </row>
        <row r="189">
          <cell r="B189" t="str">
            <v>Produksi</v>
          </cell>
          <cell r="C189" t="str">
            <v>(kuintal)</v>
          </cell>
          <cell r="D189">
            <v>1005.05</v>
          </cell>
          <cell r="E189">
            <v>0</v>
          </cell>
          <cell r="F189">
            <v>72.8</v>
          </cell>
          <cell r="G189">
            <v>33.049999999999997</v>
          </cell>
          <cell r="H189">
            <v>7200</v>
          </cell>
          <cell r="I189">
            <v>0.1</v>
          </cell>
          <cell r="J189">
            <v>50</v>
          </cell>
          <cell r="K189">
            <v>76</v>
          </cell>
          <cell r="L189">
            <v>897</v>
          </cell>
          <cell r="M189">
            <v>1757.2</v>
          </cell>
          <cell r="N189">
            <v>30</v>
          </cell>
          <cell r="O189">
            <v>84</v>
          </cell>
          <cell r="P189">
            <v>2.41</v>
          </cell>
          <cell r="Q189">
            <v>7.05</v>
          </cell>
          <cell r="R189">
            <v>0.11</v>
          </cell>
          <cell r="S189">
            <v>54</v>
          </cell>
          <cell r="T189">
            <v>0</v>
          </cell>
        </row>
        <row r="190">
          <cell r="B190" t="str">
            <v>Provitas</v>
          </cell>
          <cell r="C190" t="str">
            <v>(ku/pohon)</v>
          </cell>
          <cell r="D190">
            <v>0.67003333333333326</v>
          </cell>
          <cell r="E190" t="e">
            <v>#DIV/0!</v>
          </cell>
          <cell r="F190">
            <v>0.13999999999999999</v>
          </cell>
          <cell r="G190">
            <v>2.003030303030303E-2</v>
          </cell>
          <cell r="H190">
            <v>15.221987315010571</v>
          </cell>
          <cell r="I190">
            <v>2.0833333333333333E-3</v>
          </cell>
          <cell r="J190">
            <v>0.5617977528089888</v>
          </cell>
          <cell r="K190">
            <v>8.6363636363636365E-2</v>
          </cell>
          <cell r="L190">
            <v>0.49667774086378735</v>
          </cell>
          <cell r="M190">
            <v>1.5083261802575108</v>
          </cell>
          <cell r="N190">
            <v>0.14634146341463414</v>
          </cell>
          <cell r="O190">
            <v>0.8</v>
          </cell>
          <cell r="P190">
            <v>0.80333333333333334</v>
          </cell>
          <cell r="Q190">
            <v>0.03</v>
          </cell>
          <cell r="R190">
            <v>0.01</v>
          </cell>
          <cell r="S190">
            <v>0.3</v>
          </cell>
          <cell r="T190" t="e">
            <v>#DIV/0!</v>
          </cell>
        </row>
        <row r="191">
          <cell r="B191" t="str">
            <v>Harga/kg</v>
          </cell>
          <cell r="C191" t="str">
            <v>Rupiah</v>
          </cell>
          <cell r="D191">
            <v>6500</v>
          </cell>
          <cell r="E191">
            <v>0</v>
          </cell>
          <cell r="F191">
            <v>10000</v>
          </cell>
          <cell r="G191">
            <v>6000</v>
          </cell>
          <cell r="H191">
            <v>7000</v>
          </cell>
          <cell r="I191">
            <v>2500</v>
          </cell>
          <cell r="J191">
            <v>12000</v>
          </cell>
          <cell r="K191">
            <v>10000</v>
          </cell>
          <cell r="L191">
            <v>5000</v>
          </cell>
          <cell r="M191">
            <v>15000</v>
          </cell>
          <cell r="N191">
            <v>5000</v>
          </cell>
          <cell r="O191">
            <v>5000</v>
          </cell>
          <cell r="P191">
            <v>10000</v>
          </cell>
          <cell r="Q191">
            <v>5000</v>
          </cell>
          <cell r="R191">
            <v>5000</v>
          </cell>
          <cell r="S191">
            <v>7000</v>
          </cell>
          <cell r="T191">
            <v>0</v>
          </cell>
        </row>
        <row r="192">
          <cell r="A192" t="str">
            <v>Pepaya</v>
          </cell>
          <cell r="B192" t="str">
            <v>Tan Akhir Trw lalu</v>
          </cell>
          <cell r="C192" t="str">
            <v>Pohon/rumpun</v>
          </cell>
          <cell r="D192">
            <v>990</v>
          </cell>
          <cell r="E192">
            <v>600</v>
          </cell>
          <cell r="F192">
            <v>779</v>
          </cell>
          <cell r="G192">
            <v>9533</v>
          </cell>
          <cell r="H192">
            <v>1122</v>
          </cell>
          <cell r="I192">
            <v>2642</v>
          </cell>
          <cell r="J192">
            <v>1800</v>
          </cell>
          <cell r="K192">
            <v>500</v>
          </cell>
          <cell r="L192">
            <v>3664</v>
          </cell>
          <cell r="M192">
            <v>0</v>
          </cell>
          <cell r="N192">
            <v>525</v>
          </cell>
          <cell r="O192">
            <v>277</v>
          </cell>
          <cell r="P192">
            <v>1416</v>
          </cell>
          <cell r="Q192">
            <v>410</v>
          </cell>
          <cell r="R192">
            <v>3735</v>
          </cell>
          <cell r="S192">
            <v>1800</v>
          </cell>
          <cell r="T192">
            <v>362</v>
          </cell>
        </row>
        <row r="193">
          <cell r="B193" t="str">
            <v>Selama Triwulan</v>
          </cell>
          <cell r="C193" t="str">
            <v>Bongkar</v>
          </cell>
          <cell r="E193">
            <v>22</v>
          </cell>
          <cell r="G193">
            <v>56</v>
          </cell>
          <cell r="I193">
            <v>13</v>
          </cell>
          <cell r="K193">
            <v>10</v>
          </cell>
          <cell r="L193">
            <v>27</v>
          </cell>
          <cell r="O193">
            <v>8</v>
          </cell>
          <cell r="P193">
            <v>76</v>
          </cell>
          <cell r="R193">
            <v>125</v>
          </cell>
          <cell r="S193">
            <v>1200</v>
          </cell>
        </row>
        <row r="194">
          <cell r="C194" t="str">
            <v>Baru</v>
          </cell>
          <cell r="E194">
            <v>25</v>
          </cell>
          <cell r="F194">
            <v>20</v>
          </cell>
          <cell r="G194">
            <v>23</v>
          </cell>
          <cell r="H194">
            <v>15</v>
          </cell>
          <cell r="K194">
            <v>20</v>
          </cell>
          <cell r="N194">
            <v>50</v>
          </cell>
          <cell r="O194">
            <v>55</v>
          </cell>
          <cell r="Q194">
            <v>12</v>
          </cell>
          <cell r="R194">
            <v>255</v>
          </cell>
          <cell r="S194">
            <v>800</v>
          </cell>
        </row>
        <row r="195">
          <cell r="B195" t="str">
            <v xml:space="preserve">∑ Tanaman Akhir </v>
          </cell>
          <cell r="C195" t="str">
            <v>Pohon/rumpun</v>
          </cell>
          <cell r="D195">
            <v>990</v>
          </cell>
          <cell r="E195">
            <v>603</v>
          </cell>
          <cell r="F195">
            <v>799</v>
          </cell>
          <cell r="G195">
            <v>9500</v>
          </cell>
          <cell r="H195">
            <v>1137</v>
          </cell>
          <cell r="I195">
            <v>2629</v>
          </cell>
          <cell r="J195">
            <v>1800</v>
          </cell>
          <cell r="K195">
            <v>510</v>
          </cell>
          <cell r="L195">
            <v>3637</v>
          </cell>
          <cell r="M195">
            <v>0</v>
          </cell>
          <cell r="N195">
            <v>575</v>
          </cell>
          <cell r="O195">
            <v>324</v>
          </cell>
          <cell r="P195">
            <v>1340</v>
          </cell>
          <cell r="Q195">
            <v>422</v>
          </cell>
          <cell r="R195">
            <v>3865</v>
          </cell>
          <cell r="S195">
            <v>1400</v>
          </cell>
          <cell r="T195">
            <v>362</v>
          </cell>
        </row>
        <row r="196">
          <cell r="B196" t="str">
            <v>Di Akhir Triwulan</v>
          </cell>
          <cell r="C196" t="str">
            <v>TBM</v>
          </cell>
          <cell r="D196">
            <v>84</v>
          </cell>
          <cell r="E196">
            <v>125</v>
          </cell>
          <cell r="F196">
            <v>154</v>
          </cell>
          <cell r="G196">
            <v>6440</v>
          </cell>
          <cell r="H196">
            <v>247</v>
          </cell>
          <cell r="I196">
            <v>365</v>
          </cell>
          <cell r="K196">
            <v>100</v>
          </cell>
          <cell r="L196">
            <v>1946</v>
          </cell>
          <cell r="N196">
            <v>50</v>
          </cell>
          <cell r="O196">
            <v>65</v>
          </cell>
          <cell r="P196">
            <v>123</v>
          </cell>
          <cell r="Q196">
            <v>124</v>
          </cell>
          <cell r="R196">
            <v>1744</v>
          </cell>
          <cell r="S196">
            <v>800</v>
          </cell>
        </row>
        <row r="197">
          <cell r="C197" t="str">
            <v>TPSM</v>
          </cell>
          <cell r="D197">
            <v>900</v>
          </cell>
          <cell r="E197">
            <v>126</v>
          </cell>
          <cell r="F197">
            <v>514</v>
          </cell>
          <cell r="G197">
            <v>2010</v>
          </cell>
          <cell r="H197">
            <v>613</v>
          </cell>
          <cell r="I197">
            <v>344</v>
          </cell>
          <cell r="J197">
            <v>1800</v>
          </cell>
          <cell r="K197">
            <v>390</v>
          </cell>
          <cell r="L197">
            <v>1629</v>
          </cell>
          <cell r="N197">
            <v>525</v>
          </cell>
          <cell r="O197">
            <v>243</v>
          </cell>
          <cell r="P197">
            <v>1217</v>
          </cell>
          <cell r="Q197">
            <v>298</v>
          </cell>
          <cell r="R197">
            <v>1546</v>
          </cell>
          <cell r="S197">
            <v>600</v>
          </cell>
          <cell r="T197">
            <v>29</v>
          </cell>
        </row>
        <row r="198">
          <cell r="C198" t="str">
            <v>TPBM</v>
          </cell>
          <cell r="D198">
            <v>0</v>
          </cell>
          <cell r="E198">
            <v>352</v>
          </cell>
          <cell r="F198">
            <v>110</v>
          </cell>
          <cell r="G198">
            <v>970</v>
          </cell>
          <cell r="H198">
            <v>277</v>
          </cell>
          <cell r="I198">
            <v>1886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333</v>
          </cell>
        </row>
        <row r="199">
          <cell r="C199" t="str">
            <v>TR</v>
          </cell>
          <cell r="D199">
            <v>6</v>
          </cell>
          <cell r="F199">
            <v>21</v>
          </cell>
          <cell r="G199">
            <v>80</v>
          </cell>
          <cell r="I199">
            <v>34</v>
          </cell>
          <cell r="K199">
            <v>20</v>
          </cell>
          <cell r="L199">
            <v>62</v>
          </cell>
          <cell r="O199">
            <v>16</v>
          </cell>
          <cell r="R199">
            <v>575</v>
          </cell>
        </row>
        <row r="200">
          <cell r="B200" t="str">
            <v>Produksi</v>
          </cell>
          <cell r="C200" t="str">
            <v>(kuintal)</v>
          </cell>
          <cell r="D200">
            <v>63</v>
          </cell>
          <cell r="E200">
            <v>50</v>
          </cell>
          <cell r="F200">
            <v>35.979999999999997</v>
          </cell>
          <cell r="G200">
            <v>140.65</v>
          </cell>
          <cell r="H200">
            <v>3700</v>
          </cell>
          <cell r="I200">
            <v>24</v>
          </cell>
          <cell r="J200">
            <v>180</v>
          </cell>
          <cell r="K200">
            <v>31</v>
          </cell>
          <cell r="L200">
            <v>57</v>
          </cell>
          <cell r="M200">
            <v>0</v>
          </cell>
          <cell r="N200">
            <v>210</v>
          </cell>
          <cell r="O200">
            <v>122</v>
          </cell>
          <cell r="P200">
            <v>227.13</v>
          </cell>
          <cell r="Q200">
            <v>8.94</v>
          </cell>
          <cell r="R200">
            <v>231.9</v>
          </cell>
          <cell r="S200">
            <v>120</v>
          </cell>
          <cell r="T200">
            <v>12</v>
          </cell>
        </row>
        <row r="201">
          <cell r="B201" t="str">
            <v>Provitas</v>
          </cell>
          <cell r="C201" t="str">
            <v>(ku/pohon)</v>
          </cell>
          <cell r="D201">
            <v>7.0000000000000007E-2</v>
          </cell>
          <cell r="E201">
            <v>0.3968253968253968</v>
          </cell>
          <cell r="F201">
            <v>6.9999999999999993E-2</v>
          </cell>
          <cell r="G201">
            <v>6.997512437810946E-2</v>
          </cell>
          <cell r="H201">
            <v>6.0358890701468191</v>
          </cell>
          <cell r="I201">
            <v>6.9767441860465115E-2</v>
          </cell>
          <cell r="J201">
            <v>0.1</v>
          </cell>
          <cell r="K201">
            <v>7.9487179487179482E-2</v>
          </cell>
          <cell r="L201">
            <v>3.4990791896869246E-2</v>
          </cell>
          <cell r="M201" t="e">
            <v>#DIV/0!</v>
          </cell>
          <cell r="N201">
            <v>0.4</v>
          </cell>
          <cell r="O201">
            <v>0.50205761316872433</v>
          </cell>
          <cell r="P201">
            <v>0.18663105998356613</v>
          </cell>
          <cell r="Q201">
            <v>0.03</v>
          </cell>
          <cell r="R201">
            <v>0.15</v>
          </cell>
          <cell r="S201">
            <v>0.2</v>
          </cell>
          <cell r="T201">
            <v>0.41379310344827586</v>
          </cell>
        </row>
        <row r="202">
          <cell r="B202" t="str">
            <v>Harga/kg</v>
          </cell>
          <cell r="C202" t="str">
            <v>Rupiah</v>
          </cell>
          <cell r="D202">
            <v>4000</v>
          </cell>
          <cell r="E202">
            <v>7000</v>
          </cell>
          <cell r="F202">
            <v>10000</v>
          </cell>
          <cell r="G202">
            <v>10000</v>
          </cell>
          <cell r="H202">
            <v>1200</v>
          </cell>
          <cell r="I202">
            <v>3000</v>
          </cell>
          <cell r="J202">
            <v>6000</v>
          </cell>
          <cell r="K202">
            <v>7000</v>
          </cell>
          <cell r="L202">
            <v>6000</v>
          </cell>
          <cell r="M202">
            <v>0</v>
          </cell>
          <cell r="N202">
            <v>3500</v>
          </cell>
          <cell r="O202">
            <v>3500</v>
          </cell>
          <cell r="P202">
            <v>5000</v>
          </cell>
          <cell r="Q202">
            <v>4000</v>
          </cell>
          <cell r="R202">
            <v>4000</v>
          </cell>
          <cell r="S202">
            <v>4000</v>
          </cell>
          <cell r="T202">
            <v>5000</v>
          </cell>
        </row>
        <row r="203">
          <cell r="A203" t="str">
            <v>Pisang *)</v>
          </cell>
          <cell r="B203" t="str">
            <v>Tan Akhir Trw lalu</v>
          </cell>
          <cell r="C203" t="str">
            <v>Pohon/rumpun</v>
          </cell>
          <cell r="D203">
            <v>31470</v>
          </cell>
          <cell r="E203">
            <v>81189</v>
          </cell>
          <cell r="F203">
            <v>17265</v>
          </cell>
          <cell r="G203">
            <v>6695</v>
          </cell>
          <cell r="H203">
            <v>2992</v>
          </cell>
          <cell r="I203">
            <v>11945</v>
          </cell>
          <cell r="J203">
            <v>18500</v>
          </cell>
          <cell r="K203">
            <v>31500</v>
          </cell>
          <cell r="L203">
            <v>18383</v>
          </cell>
          <cell r="M203">
            <v>52790</v>
          </cell>
          <cell r="N203">
            <v>2150</v>
          </cell>
          <cell r="O203">
            <v>5573</v>
          </cell>
          <cell r="P203">
            <v>7524</v>
          </cell>
          <cell r="Q203">
            <v>1250</v>
          </cell>
          <cell r="R203">
            <v>1630</v>
          </cell>
          <cell r="S203">
            <v>5018</v>
          </cell>
          <cell r="T203">
            <v>615</v>
          </cell>
        </row>
        <row r="204">
          <cell r="B204" t="str">
            <v>Selama Triwulan</v>
          </cell>
          <cell r="C204" t="str">
            <v>Bongkar</v>
          </cell>
          <cell r="E204">
            <v>2567</v>
          </cell>
          <cell r="F204">
            <v>245</v>
          </cell>
          <cell r="G204">
            <v>1975</v>
          </cell>
          <cell r="H204">
            <v>54</v>
          </cell>
          <cell r="I204">
            <v>2525</v>
          </cell>
          <cell r="J204">
            <v>300</v>
          </cell>
          <cell r="K204">
            <v>50</v>
          </cell>
          <cell r="L204">
            <v>269</v>
          </cell>
          <cell r="O204">
            <v>168</v>
          </cell>
          <cell r="P204">
            <v>120</v>
          </cell>
          <cell r="Q204">
            <v>212</v>
          </cell>
          <cell r="R204">
            <v>38</v>
          </cell>
        </row>
        <row r="205">
          <cell r="C205" t="str">
            <v>Baru</v>
          </cell>
          <cell r="E205">
            <v>315</v>
          </cell>
          <cell r="F205">
            <v>146</v>
          </cell>
          <cell r="G205">
            <v>1545</v>
          </cell>
          <cell r="H205">
            <v>81</v>
          </cell>
          <cell r="I205">
            <v>2722</v>
          </cell>
          <cell r="K205">
            <v>100</v>
          </cell>
          <cell r="M205">
            <v>13800</v>
          </cell>
          <cell r="N205">
            <v>200</v>
          </cell>
          <cell r="O205">
            <v>1115</v>
          </cell>
          <cell r="Q205">
            <v>15</v>
          </cell>
        </row>
        <row r="206">
          <cell r="B206" t="str">
            <v xml:space="preserve">∑ Tanaman Akhir </v>
          </cell>
          <cell r="C206" t="str">
            <v>Pohon/rumpun</v>
          </cell>
          <cell r="D206">
            <v>31470</v>
          </cell>
          <cell r="E206">
            <v>78937</v>
          </cell>
          <cell r="F206">
            <v>17166</v>
          </cell>
          <cell r="G206">
            <v>6265</v>
          </cell>
          <cell r="H206">
            <v>3019</v>
          </cell>
          <cell r="I206">
            <v>12142</v>
          </cell>
          <cell r="J206">
            <v>18200</v>
          </cell>
          <cell r="K206">
            <v>31550</v>
          </cell>
          <cell r="L206">
            <v>18114</v>
          </cell>
          <cell r="M206">
            <v>66590</v>
          </cell>
          <cell r="N206">
            <v>2350</v>
          </cell>
          <cell r="O206">
            <v>6520</v>
          </cell>
          <cell r="P206">
            <v>7404</v>
          </cell>
          <cell r="Q206">
            <v>1053</v>
          </cell>
          <cell r="R206">
            <v>1592</v>
          </cell>
          <cell r="S206">
            <v>5018</v>
          </cell>
          <cell r="T206">
            <v>615</v>
          </cell>
        </row>
        <row r="207">
          <cell r="B207" t="str">
            <v>Di Akhir Triwulan</v>
          </cell>
          <cell r="C207" t="str">
            <v>TBM</v>
          </cell>
          <cell r="D207">
            <v>2856</v>
          </cell>
          <cell r="E207">
            <v>77157</v>
          </cell>
          <cell r="F207">
            <v>4623</v>
          </cell>
          <cell r="G207">
            <v>4170</v>
          </cell>
          <cell r="H207">
            <v>1019</v>
          </cell>
          <cell r="I207">
            <v>8625</v>
          </cell>
          <cell r="K207">
            <v>300</v>
          </cell>
          <cell r="L207">
            <v>5460</v>
          </cell>
          <cell r="M207">
            <v>50400</v>
          </cell>
          <cell r="N207">
            <v>300</v>
          </cell>
          <cell r="O207">
            <v>1304</v>
          </cell>
          <cell r="P207">
            <v>6010</v>
          </cell>
          <cell r="Q207">
            <v>283</v>
          </cell>
          <cell r="R207">
            <v>1256</v>
          </cell>
          <cell r="S207">
            <v>2138</v>
          </cell>
          <cell r="T207">
            <v>120</v>
          </cell>
        </row>
        <row r="208">
          <cell r="C208" t="str">
            <v>TPSM</v>
          </cell>
          <cell r="D208">
            <v>28600</v>
          </cell>
          <cell r="E208">
            <v>1780</v>
          </cell>
          <cell r="F208">
            <v>12435</v>
          </cell>
          <cell r="G208">
            <v>1980</v>
          </cell>
          <cell r="H208">
            <v>1419</v>
          </cell>
          <cell r="I208">
            <v>2435</v>
          </cell>
          <cell r="J208">
            <v>18200</v>
          </cell>
          <cell r="K208">
            <v>26950</v>
          </cell>
          <cell r="L208">
            <v>12471</v>
          </cell>
          <cell r="M208">
            <v>16190</v>
          </cell>
          <cell r="N208">
            <v>2050</v>
          </cell>
          <cell r="O208">
            <v>4890</v>
          </cell>
          <cell r="P208">
            <v>1394</v>
          </cell>
          <cell r="Q208">
            <v>623</v>
          </cell>
          <cell r="R208">
            <v>315</v>
          </cell>
          <cell r="S208">
            <v>2880</v>
          </cell>
          <cell r="T208">
            <v>235</v>
          </cell>
        </row>
        <row r="209">
          <cell r="C209" t="str">
            <v>TPBM</v>
          </cell>
          <cell r="D209">
            <v>0</v>
          </cell>
          <cell r="E209">
            <v>0</v>
          </cell>
          <cell r="F209">
            <v>96</v>
          </cell>
          <cell r="G209">
            <v>5</v>
          </cell>
          <cell r="H209">
            <v>581</v>
          </cell>
          <cell r="I209">
            <v>994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260</v>
          </cell>
        </row>
        <row r="210">
          <cell r="C210" t="str">
            <v>TR</v>
          </cell>
          <cell r="D210">
            <v>14</v>
          </cell>
          <cell r="F210">
            <v>12</v>
          </cell>
          <cell r="G210">
            <v>110</v>
          </cell>
          <cell r="I210">
            <v>88</v>
          </cell>
          <cell r="K210">
            <v>4300</v>
          </cell>
          <cell r="L210">
            <v>183</v>
          </cell>
          <cell r="O210">
            <v>326</v>
          </cell>
          <cell r="Q210">
            <v>147</v>
          </cell>
          <cell r="R210">
            <v>21</v>
          </cell>
        </row>
        <row r="211">
          <cell r="B211" t="str">
            <v>Produksi</v>
          </cell>
          <cell r="C211" t="str">
            <v>(kuintal)</v>
          </cell>
          <cell r="D211">
            <v>1143</v>
          </cell>
          <cell r="E211">
            <v>623</v>
          </cell>
          <cell r="F211">
            <v>2238.3000000000002</v>
          </cell>
          <cell r="G211">
            <v>336.63</v>
          </cell>
          <cell r="H211">
            <v>129</v>
          </cell>
          <cell r="I211">
            <v>413</v>
          </cell>
          <cell r="J211">
            <v>2730</v>
          </cell>
          <cell r="K211">
            <v>4000</v>
          </cell>
          <cell r="L211">
            <v>746</v>
          </cell>
          <cell r="M211">
            <v>2185.65</v>
          </cell>
          <cell r="N211">
            <v>307</v>
          </cell>
          <cell r="O211">
            <v>1222.58</v>
          </cell>
          <cell r="P211">
            <v>163.4</v>
          </cell>
          <cell r="Q211">
            <v>37.380000000000003</v>
          </cell>
          <cell r="R211">
            <v>44.1</v>
          </cell>
          <cell r="S211">
            <v>1152</v>
          </cell>
          <cell r="T211">
            <v>27</v>
          </cell>
        </row>
        <row r="212">
          <cell r="B212" t="str">
            <v>Provitas</v>
          </cell>
          <cell r="C212" t="str">
            <v>(ku/pohon)</v>
          </cell>
          <cell r="D212">
            <v>3.9965034965034965E-2</v>
          </cell>
          <cell r="E212">
            <v>0.35</v>
          </cell>
          <cell r="F212">
            <v>0.18000000000000002</v>
          </cell>
          <cell r="G212">
            <v>0.17001515151515151</v>
          </cell>
          <cell r="H212">
            <v>9.0909090909090912E-2</v>
          </cell>
          <cell r="I212">
            <v>0.16960985626283367</v>
          </cell>
          <cell r="J212">
            <v>0.15</v>
          </cell>
          <cell r="K212">
            <v>0.14842300556586271</v>
          </cell>
          <cell r="L212">
            <v>5.9818779568599149E-2</v>
          </cell>
          <cell r="M212">
            <v>0.13500000000000001</v>
          </cell>
          <cell r="N212">
            <v>0.1497560975609756</v>
          </cell>
          <cell r="O212">
            <v>0.25001635991820037</v>
          </cell>
          <cell r="P212">
            <v>0.11721664275466284</v>
          </cell>
          <cell r="Q212">
            <v>6.0000000000000005E-2</v>
          </cell>
          <cell r="R212">
            <v>0.14000000000000001</v>
          </cell>
          <cell r="S212">
            <v>0.4</v>
          </cell>
          <cell r="T212">
            <v>0.1148936170212766</v>
          </cell>
        </row>
        <row r="213">
          <cell r="B213" t="str">
            <v>Harga/kg</v>
          </cell>
          <cell r="C213" t="str">
            <v>Rupiah</v>
          </cell>
          <cell r="D213">
            <v>4000</v>
          </cell>
          <cell r="E213">
            <v>3000</v>
          </cell>
          <cell r="F213">
            <v>5000</v>
          </cell>
          <cell r="G213">
            <v>5000</v>
          </cell>
          <cell r="H213">
            <v>5000</v>
          </cell>
          <cell r="I213">
            <v>3000</v>
          </cell>
          <cell r="J213">
            <v>12000</v>
          </cell>
          <cell r="K213">
            <v>12000</v>
          </cell>
          <cell r="L213">
            <v>8000</v>
          </cell>
          <cell r="M213">
            <v>4500</v>
          </cell>
          <cell r="N213">
            <v>8000</v>
          </cell>
          <cell r="O213">
            <v>6000</v>
          </cell>
          <cell r="P213">
            <v>8000</v>
          </cell>
          <cell r="Q213">
            <v>3000</v>
          </cell>
          <cell r="R213">
            <v>7000</v>
          </cell>
          <cell r="S213">
            <v>6000</v>
          </cell>
          <cell r="T213">
            <v>6000</v>
          </cell>
        </row>
        <row r="214">
          <cell r="A214" t="str">
            <v>Rambutan</v>
          </cell>
          <cell r="B214" t="str">
            <v>Tan Akhir Trw lalu</v>
          </cell>
          <cell r="C214" t="str">
            <v>Pohon/rumpun</v>
          </cell>
          <cell r="D214">
            <v>9550</v>
          </cell>
          <cell r="E214">
            <v>1100</v>
          </cell>
          <cell r="F214">
            <v>2165</v>
          </cell>
          <cell r="G214">
            <v>8424</v>
          </cell>
          <cell r="H214">
            <v>3711</v>
          </cell>
          <cell r="I214">
            <v>6585</v>
          </cell>
          <cell r="J214">
            <v>0</v>
          </cell>
          <cell r="K214">
            <v>200</v>
          </cell>
          <cell r="L214">
            <v>6463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6</v>
          </cell>
          <cell r="S214">
            <v>51</v>
          </cell>
          <cell r="T214">
            <v>0</v>
          </cell>
        </row>
        <row r="215">
          <cell r="B215" t="str">
            <v>Selama Triwulan</v>
          </cell>
          <cell r="C215" t="str">
            <v>Bongkar</v>
          </cell>
          <cell r="F215">
            <v>4</v>
          </cell>
          <cell r="G215">
            <v>17</v>
          </cell>
          <cell r="H215">
            <v>16</v>
          </cell>
          <cell r="I215">
            <v>23</v>
          </cell>
          <cell r="K215">
            <v>10</v>
          </cell>
          <cell r="L215">
            <v>132</v>
          </cell>
        </row>
        <row r="216">
          <cell r="C216" t="str">
            <v>Baru</v>
          </cell>
          <cell r="I216">
            <v>14</v>
          </cell>
        </row>
        <row r="217">
          <cell r="B217" t="str">
            <v xml:space="preserve">∑ Tanaman Akhir </v>
          </cell>
          <cell r="C217" t="str">
            <v>Pohon/rumpun</v>
          </cell>
          <cell r="D217">
            <v>9550</v>
          </cell>
          <cell r="E217">
            <v>1100</v>
          </cell>
          <cell r="F217">
            <v>2161</v>
          </cell>
          <cell r="G217">
            <v>8407</v>
          </cell>
          <cell r="H217">
            <v>3695</v>
          </cell>
          <cell r="I217">
            <v>6576</v>
          </cell>
          <cell r="J217">
            <v>0</v>
          </cell>
          <cell r="K217">
            <v>190</v>
          </cell>
          <cell r="L217">
            <v>6331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6</v>
          </cell>
          <cell r="S217">
            <v>51</v>
          </cell>
          <cell r="T217">
            <v>0</v>
          </cell>
        </row>
        <row r="218">
          <cell r="B218" t="str">
            <v>Di Akhir Triwulan</v>
          </cell>
          <cell r="C218" t="str">
            <v>TBM</v>
          </cell>
          <cell r="D218">
            <v>3982</v>
          </cell>
          <cell r="E218">
            <v>850</v>
          </cell>
          <cell r="F218">
            <v>873</v>
          </cell>
          <cell r="G218">
            <v>2012</v>
          </cell>
          <cell r="H218">
            <v>87</v>
          </cell>
          <cell r="I218">
            <v>685</v>
          </cell>
          <cell r="K218">
            <v>50</v>
          </cell>
          <cell r="L218">
            <v>6250</v>
          </cell>
          <cell r="R218">
            <v>6</v>
          </cell>
          <cell r="S218">
            <v>16</v>
          </cell>
        </row>
        <row r="219">
          <cell r="C219" t="str">
            <v>TPSM</v>
          </cell>
          <cell r="D219">
            <v>5550</v>
          </cell>
          <cell r="F219">
            <v>1175</v>
          </cell>
          <cell r="G219">
            <v>1058</v>
          </cell>
          <cell r="H219">
            <v>760</v>
          </cell>
          <cell r="I219">
            <v>135</v>
          </cell>
          <cell r="K219">
            <v>120</v>
          </cell>
          <cell r="L219">
            <v>42</v>
          </cell>
          <cell r="S219">
            <v>35</v>
          </cell>
        </row>
        <row r="220">
          <cell r="C220" t="str">
            <v>TPBM</v>
          </cell>
          <cell r="D220">
            <v>0</v>
          </cell>
          <cell r="E220">
            <v>250</v>
          </cell>
          <cell r="F220">
            <v>103</v>
          </cell>
          <cell r="G220">
            <v>5314</v>
          </cell>
          <cell r="H220">
            <v>2848</v>
          </cell>
          <cell r="I220">
            <v>5736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C221" t="str">
            <v>TR</v>
          </cell>
          <cell r="D221">
            <v>18</v>
          </cell>
          <cell r="F221">
            <v>10</v>
          </cell>
          <cell r="G221">
            <v>23</v>
          </cell>
          <cell r="I221">
            <v>20</v>
          </cell>
          <cell r="K221">
            <v>20</v>
          </cell>
          <cell r="L221">
            <v>39</v>
          </cell>
        </row>
        <row r="222">
          <cell r="B222" t="str">
            <v>Produksi</v>
          </cell>
          <cell r="C222" t="str">
            <v>(kuintal)</v>
          </cell>
          <cell r="D222">
            <v>665</v>
          </cell>
          <cell r="E222">
            <v>0</v>
          </cell>
          <cell r="F222">
            <v>293.75</v>
          </cell>
          <cell r="G222">
            <v>264.5</v>
          </cell>
          <cell r="H222">
            <v>570</v>
          </cell>
          <cell r="I222">
            <v>33.75</v>
          </cell>
          <cell r="J222">
            <v>0</v>
          </cell>
          <cell r="K222">
            <v>30</v>
          </cell>
          <cell r="L222">
            <v>8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17</v>
          </cell>
          <cell r="T222">
            <v>0</v>
          </cell>
        </row>
        <row r="223">
          <cell r="B223" t="str">
            <v>Provitas</v>
          </cell>
          <cell r="C223" t="str">
            <v>(ku/pohon)</v>
          </cell>
          <cell r="D223">
            <v>0.11981981981981982</v>
          </cell>
          <cell r="E223" t="e">
            <v>#DIV/0!</v>
          </cell>
          <cell r="F223">
            <v>0.25</v>
          </cell>
          <cell r="G223">
            <v>0.25</v>
          </cell>
          <cell r="H223">
            <v>0.75</v>
          </cell>
          <cell r="I223">
            <v>0.25</v>
          </cell>
          <cell r="J223" t="e">
            <v>#DIV/0!</v>
          </cell>
          <cell r="K223">
            <v>0.25</v>
          </cell>
          <cell r="L223">
            <v>0.19047619047619047</v>
          </cell>
          <cell r="M223" t="e">
            <v>#DIV/0!</v>
          </cell>
          <cell r="N223" t="e">
            <v>#DIV/0!</v>
          </cell>
          <cell r="O223" t="e">
            <v>#DIV/0!</v>
          </cell>
          <cell r="P223" t="e">
            <v>#DIV/0!</v>
          </cell>
          <cell r="Q223" t="e">
            <v>#DIV/0!</v>
          </cell>
          <cell r="R223" t="e">
            <v>#DIV/0!</v>
          </cell>
          <cell r="S223">
            <v>0.48571428571428571</v>
          </cell>
          <cell r="T223" t="e">
            <v>#DIV/0!</v>
          </cell>
        </row>
        <row r="224">
          <cell r="B224" t="str">
            <v>Harga/kg</v>
          </cell>
          <cell r="C224" t="str">
            <v>Rupiah</v>
          </cell>
          <cell r="D224">
            <v>4000</v>
          </cell>
          <cell r="E224">
            <v>0</v>
          </cell>
          <cell r="F224">
            <v>15000</v>
          </cell>
          <cell r="G224">
            <v>5000</v>
          </cell>
          <cell r="H224">
            <v>2500</v>
          </cell>
          <cell r="I224">
            <v>8000</v>
          </cell>
          <cell r="J224">
            <v>0</v>
          </cell>
          <cell r="K224">
            <v>20000</v>
          </cell>
          <cell r="L224">
            <v>9000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</v>
          </cell>
          <cell r="T224">
            <v>0</v>
          </cell>
        </row>
        <row r="225">
          <cell r="A225" t="str">
            <v>Salak *)</v>
          </cell>
          <cell r="B225" t="str">
            <v>Tan Akhir Trw lalu</v>
          </cell>
          <cell r="C225" t="str">
            <v>Pohon/rumpun</v>
          </cell>
          <cell r="D225">
            <v>1490</v>
          </cell>
          <cell r="E225">
            <v>3789</v>
          </cell>
          <cell r="F225">
            <v>6</v>
          </cell>
          <cell r="G225">
            <v>5832</v>
          </cell>
          <cell r="H225">
            <v>1281</v>
          </cell>
          <cell r="I225">
            <v>246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B226" t="str">
            <v>Selama Triwulan</v>
          </cell>
          <cell r="C226" t="str">
            <v>Bongkar</v>
          </cell>
          <cell r="E226">
            <v>25</v>
          </cell>
          <cell r="G226">
            <v>14</v>
          </cell>
        </row>
        <row r="227">
          <cell r="C227" t="str">
            <v>Baru</v>
          </cell>
        </row>
        <row r="228">
          <cell r="B228" t="str">
            <v xml:space="preserve">∑ Tanaman Akhir </v>
          </cell>
          <cell r="C228" t="str">
            <v>Pohon/rumpun</v>
          </cell>
          <cell r="D228">
            <v>1490</v>
          </cell>
          <cell r="E228">
            <v>3764</v>
          </cell>
          <cell r="F228">
            <v>6</v>
          </cell>
          <cell r="G228">
            <v>5818</v>
          </cell>
          <cell r="H228">
            <v>1281</v>
          </cell>
          <cell r="I228">
            <v>246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B229" t="str">
            <v>Di Akhir Triwulan</v>
          </cell>
          <cell r="C229" t="str">
            <v>TBM</v>
          </cell>
          <cell r="D229">
            <v>44</v>
          </cell>
          <cell r="E229">
            <v>2250</v>
          </cell>
          <cell r="G229">
            <v>1120</v>
          </cell>
          <cell r="H229">
            <v>1281</v>
          </cell>
          <cell r="I229">
            <v>5</v>
          </cell>
        </row>
        <row r="230">
          <cell r="C230" t="str">
            <v>TPSM</v>
          </cell>
          <cell r="D230">
            <v>1440</v>
          </cell>
          <cell r="F230">
            <v>4</v>
          </cell>
          <cell r="G230">
            <v>1530</v>
          </cell>
          <cell r="I230">
            <v>16</v>
          </cell>
        </row>
        <row r="231">
          <cell r="C231" t="str">
            <v>TPBM</v>
          </cell>
          <cell r="D231">
            <v>0</v>
          </cell>
          <cell r="E231">
            <v>1514</v>
          </cell>
          <cell r="F231">
            <v>0</v>
          </cell>
          <cell r="G231">
            <v>3128</v>
          </cell>
          <cell r="H231">
            <v>0</v>
          </cell>
          <cell r="I231">
            <v>190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C232" t="str">
            <v>TR</v>
          </cell>
          <cell r="D232">
            <v>6</v>
          </cell>
          <cell r="F232">
            <v>2</v>
          </cell>
          <cell r="G232">
            <v>40</v>
          </cell>
          <cell r="I232">
            <v>35</v>
          </cell>
        </row>
        <row r="233">
          <cell r="B233" t="str">
            <v>Produksi</v>
          </cell>
          <cell r="C233" t="str">
            <v>(kuintal)</v>
          </cell>
          <cell r="D233">
            <v>115</v>
          </cell>
          <cell r="E233">
            <v>0</v>
          </cell>
          <cell r="F233">
            <v>0.8</v>
          </cell>
          <cell r="G233">
            <v>60.96</v>
          </cell>
          <cell r="H233">
            <v>0</v>
          </cell>
          <cell r="I233">
            <v>0.64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B234" t="str">
            <v>Provitas</v>
          </cell>
          <cell r="C234" t="str">
            <v>(ku/pohon)</v>
          </cell>
          <cell r="D234">
            <v>7.9861111111111105E-2</v>
          </cell>
          <cell r="E234" t="e">
            <v>#DIV/0!</v>
          </cell>
          <cell r="F234">
            <v>0.2</v>
          </cell>
          <cell r="G234">
            <v>3.9843137254901961E-2</v>
          </cell>
          <cell r="H234" t="e">
            <v>#DIV/0!</v>
          </cell>
          <cell r="I234">
            <v>0.04</v>
          </cell>
          <cell r="J234" t="e">
            <v>#DIV/0!</v>
          </cell>
          <cell r="K234" t="e">
            <v>#DIV/0!</v>
          </cell>
          <cell r="L234" t="e">
            <v>#DIV/0!</v>
          </cell>
          <cell r="M234" t="e">
            <v>#DIV/0!</v>
          </cell>
          <cell r="N234" t="e">
            <v>#DIV/0!</v>
          </cell>
          <cell r="O234" t="e">
            <v>#DIV/0!</v>
          </cell>
          <cell r="P234" t="e">
            <v>#DIV/0!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</row>
        <row r="235">
          <cell r="B235" t="str">
            <v>Harga/kg</v>
          </cell>
          <cell r="C235" t="str">
            <v>Rupiah</v>
          </cell>
          <cell r="D235">
            <v>6000</v>
          </cell>
          <cell r="E235">
            <v>0</v>
          </cell>
          <cell r="F235">
            <v>10000</v>
          </cell>
          <cell r="G235">
            <v>7000</v>
          </cell>
          <cell r="H235">
            <v>0</v>
          </cell>
          <cell r="I235">
            <v>7000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 t="str">
            <v>Sawo</v>
          </cell>
          <cell r="B236" t="str">
            <v>Tan Akhir Trw lalu</v>
          </cell>
          <cell r="C236" t="str">
            <v>Pohon/rumpun</v>
          </cell>
          <cell r="D236">
            <v>450</v>
          </cell>
          <cell r="E236">
            <v>750</v>
          </cell>
          <cell r="F236">
            <v>182</v>
          </cell>
          <cell r="G236">
            <v>808</v>
          </cell>
          <cell r="H236">
            <v>95</v>
          </cell>
          <cell r="I236">
            <v>484</v>
          </cell>
          <cell r="J236">
            <v>1070</v>
          </cell>
          <cell r="K236">
            <v>100</v>
          </cell>
          <cell r="L236">
            <v>2487</v>
          </cell>
          <cell r="M236">
            <v>10092</v>
          </cell>
          <cell r="N236">
            <v>115</v>
          </cell>
          <cell r="O236">
            <v>76</v>
          </cell>
          <cell r="P236">
            <v>133</v>
          </cell>
          <cell r="Q236">
            <v>297</v>
          </cell>
          <cell r="R236">
            <v>108</v>
          </cell>
          <cell r="S236">
            <v>926</v>
          </cell>
          <cell r="T236">
            <v>68</v>
          </cell>
        </row>
        <row r="237">
          <cell r="B237" t="str">
            <v>Selama Triwulan</v>
          </cell>
          <cell r="C237" t="str">
            <v>Bongkar</v>
          </cell>
          <cell r="F237">
            <v>7</v>
          </cell>
          <cell r="G237">
            <v>7</v>
          </cell>
          <cell r="K237">
            <v>10</v>
          </cell>
          <cell r="L237">
            <v>58</v>
          </cell>
          <cell r="M237">
            <v>57</v>
          </cell>
          <cell r="O237">
            <v>23</v>
          </cell>
          <cell r="P237">
            <v>2</v>
          </cell>
          <cell r="T237">
            <v>2</v>
          </cell>
        </row>
        <row r="238">
          <cell r="C238" t="str">
            <v>Baru</v>
          </cell>
          <cell r="O238">
            <v>23</v>
          </cell>
        </row>
        <row r="239">
          <cell r="B239" t="str">
            <v xml:space="preserve">∑ Tanaman Akhir </v>
          </cell>
          <cell r="C239" t="str">
            <v>Pohon/rumpun</v>
          </cell>
          <cell r="D239">
            <v>450</v>
          </cell>
          <cell r="E239">
            <v>750</v>
          </cell>
          <cell r="F239">
            <v>175</v>
          </cell>
          <cell r="G239">
            <v>801</v>
          </cell>
          <cell r="H239">
            <v>95</v>
          </cell>
          <cell r="I239">
            <v>484</v>
          </cell>
          <cell r="J239">
            <v>1070</v>
          </cell>
          <cell r="K239">
            <v>90</v>
          </cell>
          <cell r="L239">
            <v>2429</v>
          </cell>
          <cell r="M239">
            <v>10035</v>
          </cell>
          <cell r="N239">
            <v>115</v>
          </cell>
          <cell r="O239">
            <v>76</v>
          </cell>
          <cell r="P239">
            <v>131</v>
          </cell>
          <cell r="Q239">
            <v>297</v>
          </cell>
          <cell r="R239">
            <v>108</v>
          </cell>
          <cell r="S239">
            <v>926</v>
          </cell>
          <cell r="T239">
            <v>66</v>
          </cell>
        </row>
        <row r="240">
          <cell r="B240" t="str">
            <v>Di Akhir Triwulan</v>
          </cell>
          <cell r="C240" t="str">
            <v>TBM</v>
          </cell>
          <cell r="D240">
            <v>96</v>
          </cell>
          <cell r="E240">
            <v>115</v>
          </cell>
          <cell r="F240">
            <v>43</v>
          </cell>
          <cell r="G240">
            <v>271</v>
          </cell>
          <cell r="H240">
            <v>95</v>
          </cell>
          <cell r="I240">
            <v>100</v>
          </cell>
          <cell r="K240">
            <v>10</v>
          </cell>
          <cell r="L240">
            <v>1364</v>
          </cell>
          <cell r="M240">
            <v>327</v>
          </cell>
          <cell r="N240">
            <v>115</v>
          </cell>
          <cell r="O240">
            <v>15</v>
          </cell>
          <cell r="P240">
            <v>21</v>
          </cell>
          <cell r="Q240">
            <v>85</v>
          </cell>
          <cell r="R240">
            <v>108</v>
          </cell>
          <cell r="S240">
            <v>306</v>
          </cell>
          <cell r="T240">
            <v>66</v>
          </cell>
        </row>
        <row r="241">
          <cell r="C241" t="str">
            <v>TPSM</v>
          </cell>
          <cell r="D241">
            <v>350</v>
          </cell>
          <cell r="E241">
            <v>160</v>
          </cell>
          <cell r="F241">
            <v>63</v>
          </cell>
          <cell r="G241">
            <v>323</v>
          </cell>
          <cell r="I241">
            <v>67</v>
          </cell>
          <cell r="J241">
            <v>1070</v>
          </cell>
          <cell r="K241">
            <v>60</v>
          </cell>
          <cell r="L241">
            <v>1037</v>
          </cell>
          <cell r="M241">
            <v>9708</v>
          </cell>
          <cell r="O241">
            <v>57</v>
          </cell>
          <cell r="P241">
            <v>110</v>
          </cell>
          <cell r="Q241">
            <v>212</v>
          </cell>
          <cell r="S241">
            <v>620</v>
          </cell>
        </row>
        <row r="242">
          <cell r="C242" t="str">
            <v>TPBM</v>
          </cell>
          <cell r="D242">
            <v>0</v>
          </cell>
          <cell r="E242">
            <v>475</v>
          </cell>
          <cell r="F242">
            <v>54</v>
          </cell>
          <cell r="G242">
            <v>197</v>
          </cell>
          <cell r="H242">
            <v>0</v>
          </cell>
          <cell r="I242">
            <v>302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C243" t="str">
            <v>TR</v>
          </cell>
          <cell r="D243">
            <v>4</v>
          </cell>
          <cell r="F243">
            <v>15</v>
          </cell>
          <cell r="G243">
            <v>10</v>
          </cell>
          <cell r="I243">
            <v>15</v>
          </cell>
          <cell r="K243">
            <v>20</v>
          </cell>
          <cell r="L243">
            <v>28</v>
          </cell>
          <cell r="O243">
            <v>4</v>
          </cell>
        </row>
        <row r="244">
          <cell r="B244" t="str">
            <v>Produksi</v>
          </cell>
          <cell r="C244" t="str">
            <v>(kuintal)</v>
          </cell>
          <cell r="D244">
            <v>35</v>
          </cell>
          <cell r="E244">
            <v>48</v>
          </cell>
          <cell r="F244">
            <v>15.75</v>
          </cell>
          <cell r="G244">
            <v>93.81</v>
          </cell>
          <cell r="H244">
            <v>0</v>
          </cell>
          <cell r="I244">
            <v>19.45</v>
          </cell>
          <cell r="J244">
            <v>246</v>
          </cell>
          <cell r="K244">
            <v>20</v>
          </cell>
          <cell r="L244">
            <v>180</v>
          </cell>
          <cell r="M244">
            <v>1747.4</v>
          </cell>
          <cell r="N244">
            <v>0</v>
          </cell>
          <cell r="O244">
            <v>46</v>
          </cell>
          <cell r="P244">
            <v>54.3</v>
          </cell>
          <cell r="Q244">
            <v>6.36</v>
          </cell>
          <cell r="R244">
            <v>0</v>
          </cell>
          <cell r="S244">
            <v>186</v>
          </cell>
          <cell r="T244">
            <v>0</v>
          </cell>
        </row>
        <row r="245">
          <cell r="B245" t="str">
            <v>Provitas</v>
          </cell>
          <cell r="C245" t="str">
            <v>(ku/pohon)</v>
          </cell>
          <cell r="D245">
            <v>0.1</v>
          </cell>
          <cell r="E245">
            <v>0.3</v>
          </cell>
          <cell r="F245">
            <v>0.25</v>
          </cell>
          <cell r="G245">
            <v>0.29043343653250775</v>
          </cell>
          <cell r="H245" t="e">
            <v>#DIV/0!</v>
          </cell>
          <cell r="I245">
            <v>0.29029850746268654</v>
          </cell>
          <cell r="J245">
            <v>0.22990654205607478</v>
          </cell>
          <cell r="K245">
            <v>0.33333333333333331</v>
          </cell>
          <cell r="L245">
            <v>0.17357762777242045</v>
          </cell>
          <cell r="M245">
            <v>0.17999587968685621</v>
          </cell>
          <cell r="N245" t="e">
            <v>#DIV/0!</v>
          </cell>
          <cell r="O245">
            <v>0.80701754385964908</v>
          </cell>
          <cell r="P245">
            <v>0.4936363636363636</v>
          </cell>
          <cell r="Q245">
            <v>3.0000000000000002E-2</v>
          </cell>
          <cell r="R245" t="e">
            <v>#DIV/0!</v>
          </cell>
          <cell r="S245">
            <v>0.3</v>
          </cell>
          <cell r="T245" t="e">
            <v>#DIV/0!</v>
          </cell>
        </row>
        <row r="246">
          <cell r="B246" t="str">
            <v>Harga/kg</v>
          </cell>
          <cell r="C246" t="str">
            <v>Rupiah</v>
          </cell>
          <cell r="D246">
            <v>5000</v>
          </cell>
          <cell r="E246">
            <v>10000</v>
          </cell>
          <cell r="F246">
            <v>20000</v>
          </cell>
          <cell r="G246">
            <v>6000</v>
          </cell>
          <cell r="H246">
            <v>0</v>
          </cell>
          <cell r="I246">
            <v>10000</v>
          </cell>
          <cell r="J246">
            <v>10000</v>
          </cell>
          <cell r="K246">
            <v>10000</v>
          </cell>
          <cell r="L246">
            <v>6000</v>
          </cell>
          <cell r="M246">
            <v>12000</v>
          </cell>
          <cell r="N246">
            <v>0</v>
          </cell>
          <cell r="O246">
            <v>6000</v>
          </cell>
          <cell r="P246">
            <v>12000</v>
          </cell>
          <cell r="Q246">
            <v>8000</v>
          </cell>
          <cell r="R246">
            <v>0</v>
          </cell>
          <cell r="S246">
            <v>5000</v>
          </cell>
          <cell r="T246">
            <v>0</v>
          </cell>
        </row>
        <row r="247">
          <cell r="A247" t="str">
            <v>Sirsak</v>
          </cell>
          <cell r="B247" t="str">
            <v>Tan Akhir Trw lalu</v>
          </cell>
          <cell r="C247" t="str">
            <v>Pohon/rumpun</v>
          </cell>
          <cell r="D247">
            <v>825</v>
          </cell>
          <cell r="E247">
            <v>1125</v>
          </cell>
          <cell r="F247">
            <v>212</v>
          </cell>
          <cell r="G247">
            <v>957</v>
          </cell>
          <cell r="H247">
            <v>799</v>
          </cell>
          <cell r="I247">
            <v>434</v>
          </cell>
          <cell r="J247">
            <v>0</v>
          </cell>
          <cell r="K247">
            <v>0</v>
          </cell>
          <cell r="L247">
            <v>3882</v>
          </cell>
          <cell r="M247">
            <v>0</v>
          </cell>
          <cell r="N247">
            <v>100</v>
          </cell>
          <cell r="O247">
            <v>13</v>
          </cell>
          <cell r="P247">
            <v>0</v>
          </cell>
          <cell r="Q247">
            <v>76</v>
          </cell>
          <cell r="R247">
            <v>31</v>
          </cell>
          <cell r="S247">
            <v>0</v>
          </cell>
          <cell r="T247">
            <v>0</v>
          </cell>
        </row>
        <row r="248">
          <cell r="B248" t="str">
            <v>Selama Triwulan</v>
          </cell>
          <cell r="C248" t="str">
            <v>Bongkar</v>
          </cell>
          <cell r="F248">
            <v>2</v>
          </cell>
          <cell r="G248">
            <v>3</v>
          </cell>
          <cell r="H248">
            <v>12</v>
          </cell>
          <cell r="L248">
            <v>113</v>
          </cell>
          <cell r="O248">
            <v>4</v>
          </cell>
        </row>
        <row r="249">
          <cell r="C249" t="str">
            <v>Baru</v>
          </cell>
          <cell r="O249">
            <v>4</v>
          </cell>
        </row>
        <row r="250">
          <cell r="B250" t="str">
            <v xml:space="preserve">∑ Tanaman Akhir </v>
          </cell>
          <cell r="C250" t="str">
            <v>Pohon/rumpun</v>
          </cell>
          <cell r="D250">
            <v>825</v>
          </cell>
          <cell r="E250">
            <v>1125</v>
          </cell>
          <cell r="F250">
            <v>210</v>
          </cell>
          <cell r="G250">
            <v>954</v>
          </cell>
          <cell r="H250">
            <v>787</v>
          </cell>
          <cell r="I250">
            <v>434</v>
          </cell>
          <cell r="J250">
            <v>0</v>
          </cell>
          <cell r="K250">
            <v>0</v>
          </cell>
          <cell r="L250">
            <v>3769</v>
          </cell>
          <cell r="M250">
            <v>0</v>
          </cell>
          <cell r="N250">
            <v>100</v>
          </cell>
          <cell r="O250">
            <v>13</v>
          </cell>
          <cell r="P250">
            <v>0</v>
          </cell>
          <cell r="Q250">
            <v>76</v>
          </cell>
          <cell r="R250">
            <v>31</v>
          </cell>
          <cell r="S250">
            <v>0</v>
          </cell>
          <cell r="T250">
            <v>0</v>
          </cell>
        </row>
        <row r="251">
          <cell r="B251" t="str">
            <v>Di Akhir Triwulan</v>
          </cell>
          <cell r="C251" t="str">
            <v>TBM</v>
          </cell>
          <cell r="D251">
            <v>146</v>
          </cell>
          <cell r="E251">
            <v>225</v>
          </cell>
          <cell r="F251">
            <v>98</v>
          </cell>
          <cell r="G251">
            <v>295</v>
          </cell>
          <cell r="H251">
            <v>500</v>
          </cell>
          <cell r="I251">
            <v>86</v>
          </cell>
          <cell r="L251">
            <v>2323</v>
          </cell>
          <cell r="N251">
            <v>75</v>
          </cell>
          <cell r="O251">
            <v>3</v>
          </cell>
          <cell r="Q251">
            <v>7</v>
          </cell>
          <cell r="R251">
            <v>23</v>
          </cell>
        </row>
        <row r="252">
          <cell r="C252" t="str">
            <v>TPSM</v>
          </cell>
          <cell r="D252">
            <v>675</v>
          </cell>
          <cell r="E252">
            <v>125</v>
          </cell>
          <cell r="F252">
            <v>81</v>
          </cell>
          <cell r="G252">
            <v>125</v>
          </cell>
          <cell r="H252">
            <v>115</v>
          </cell>
          <cell r="I252">
            <v>60</v>
          </cell>
          <cell r="L252">
            <v>1392</v>
          </cell>
          <cell r="N252">
            <v>25</v>
          </cell>
          <cell r="O252">
            <v>10</v>
          </cell>
          <cell r="Q252">
            <v>69</v>
          </cell>
          <cell r="R252">
            <v>6</v>
          </cell>
        </row>
        <row r="253">
          <cell r="C253" t="str">
            <v>TPBM</v>
          </cell>
          <cell r="D253">
            <v>0</v>
          </cell>
          <cell r="E253">
            <v>775</v>
          </cell>
          <cell r="F253">
            <v>16</v>
          </cell>
          <cell r="G253">
            <v>510</v>
          </cell>
          <cell r="H253">
            <v>172</v>
          </cell>
          <cell r="I253">
            <v>280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C254" t="str">
            <v>TR</v>
          </cell>
          <cell r="D254">
            <v>4</v>
          </cell>
          <cell r="F254">
            <v>15</v>
          </cell>
          <cell r="G254">
            <v>24</v>
          </cell>
          <cell r="I254">
            <v>8</v>
          </cell>
          <cell r="L254">
            <v>54</v>
          </cell>
          <cell r="R254">
            <v>2</v>
          </cell>
        </row>
        <row r="255">
          <cell r="B255" t="str">
            <v>Produksi</v>
          </cell>
          <cell r="C255" t="str">
            <v>(kuintal)</v>
          </cell>
          <cell r="D255">
            <v>34</v>
          </cell>
          <cell r="E255">
            <v>25</v>
          </cell>
          <cell r="F255">
            <v>15.75</v>
          </cell>
          <cell r="G255">
            <v>10.029999999999999</v>
          </cell>
          <cell r="H255">
            <v>63</v>
          </cell>
          <cell r="I255">
            <v>4.8</v>
          </cell>
          <cell r="J255">
            <v>0</v>
          </cell>
          <cell r="K255">
            <v>0</v>
          </cell>
          <cell r="L255">
            <v>118</v>
          </cell>
          <cell r="M255">
            <v>0</v>
          </cell>
          <cell r="N255">
            <v>1</v>
          </cell>
          <cell r="O255">
            <v>1.95</v>
          </cell>
          <cell r="P255">
            <v>0</v>
          </cell>
          <cell r="Q255">
            <v>2.0699999999999998</v>
          </cell>
          <cell r="R255">
            <v>0.09</v>
          </cell>
          <cell r="S255">
            <v>0</v>
          </cell>
          <cell r="T255">
            <v>0</v>
          </cell>
        </row>
        <row r="256">
          <cell r="B256" t="str">
            <v>Provitas</v>
          </cell>
          <cell r="C256" t="str">
            <v>(ku/pohon)</v>
          </cell>
          <cell r="D256">
            <v>5.0370370370370371E-2</v>
          </cell>
          <cell r="E256">
            <v>0.2</v>
          </cell>
          <cell r="F256">
            <v>0.19444444444444445</v>
          </cell>
          <cell r="G256">
            <v>8.0239999999999992E-2</v>
          </cell>
          <cell r="H256">
            <v>0.54782608695652169</v>
          </cell>
          <cell r="I256">
            <v>0.08</v>
          </cell>
          <cell r="J256" t="e">
            <v>#DIV/0!</v>
          </cell>
          <cell r="K256" t="e">
            <v>#DIV/0!</v>
          </cell>
          <cell r="L256">
            <v>8.4770114942528729E-2</v>
          </cell>
          <cell r="M256" t="e">
            <v>#DIV/0!</v>
          </cell>
          <cell r="N256">
            <v>0.04</v>
          </cell>
          <cell r="O256">
            <v>0.19500000000000001</v>
          </cell>
          <cell r="P256" t="e">
            <v>#DIV/0!</v>
          </cell>
          <cell r="Q256">
            <v>0.03</v>
          </cell>
          <cell r="R256">
            <v>1.4999999999999999E-2</v>
          </cell>
          <cell r="S256" t="e">
            <v>#DIV/0!</v>
          </cell>
          <cell r="T256" t="e">
            <v>#DIV/0!</v>
          </cell>
        </row>
        <row r="257">
          <cell r="B257" t="str">
            <v>Harga/kg</v>
          </cell>
          <cell r="C257" t="str">
            <v>Rupiah</v>
          </cell>
          <cell r="D257">
            <v>4000</v>
          </cell>
          <cell r="E257">
            <v>11000</v>
          </cell>
          <cell r="F257">
            <v>20000</v>
          </cell>
          <cell r="G257">
            <v>10000</v>
          </cell>
          <cell r="H257">
            <v>4000</v>
          </cell>
          <cell r="I257">
            <v>2000</v>
          </cell>
          <cell r="J257">
            <v>0</v>
          </cell>
          <cell r="K257">
            <v>0</v>
          </cell>
          <cell r="L257">
            <v>5000</v>
          </cell>
          <cell r="M257">
            <v>0</v>
          </cell>
          <cell r="N257">
            <v>2000</v>
          </cell>
          <cell r="O257">
            <v>8000</v>
          </cell>
          <cell r="P257">
            <v>0</v>
          </cell>
          <cell r="Q257">
            <v>7000</v>
          </cell>
          <cell r="R257">
            <v>5500</v>
          </cell>
          <cell r="S257">
            <v>0</v>
          </cell>
          <cell r="T257">
            <v>0</v>
          </cell>
        </row>
        <row r="258">
          <cell r="A258" t="str">
            <v>Sukun</v>
          </cell>
          <cell r="B258" t="str">
            <v>Tan Akhir Trw lalu</v>
          </cell>
          <cell r="C258" t="str">
            <v>Pohon/rumpun</v>
          </cell>
          <cell r="D258">
            <v>1400</v>
          </cell>
          <cell r="E258">
            <v>142</v>
          </cell>
          <cell r="F258">
            <v>222</v>
          </cell>
          <cell r="G258">
            <v>1405</v>
          </cell>
          <cell r="H258">
            <v>186</v>
          </cell>
          <cell r="I258">
            <v>6424</v>
          </cell>
          <cell r="J258">
            <v>0</v>
          </cell>
          <cell r="K258">
            <v>6900</v>
          </cell>
          <cell r="L258">
            <v>23</v>
          </cell>
          <cell r="M258">
            <v>684</v>
          </cell>
          <cell r="N258">
            <v>70</v>
          </cell>
          <cell r="O258">
            <v>15</v>
          </cell>
          <cell r="P258">
            <v>99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B259" t="str">
            <v>Selama Triwulan</v>
          </cell>
          <cell r="C259" t="str">
            <v>Bongkar</v>
          </cell>
          <cell r="F259">
            <v>16</v>
          </cell>
          <cell r="G259">
            <v>12</v>
          </cell>
          <cell r="H259">
            <v>5</v>
          </cell>
          <cell r="I259">
            <v>145</v>
          </cell>
          <cell r="K259">
            <v>20</v>
          </cell>
          <cell r="M259">
            <v>27</v>
          </cell>
          <cell r="O259">
            <v>5</v>
          </cell>
          <cell r="P259">
            <v>11</v>
          </cell>
        </row>
        <row r="260">
          <cell r="C260" t="str">
            <v>Baru</v>
          </cell>
          <cell r="O260">
            <v>5</v>
          </cell>
        </row>
        <row r="261">
          <cell r="B261" t="str">
            <v xml:space="preserve">∑ Tanaman Akhir </v>
          </cell>
          <cell r="C261" t="str">
            <v>Pohon/rumpun</v>
          </cell>
          <cell r="D261">
            <v>1400</v>
          </cell>
          <cell r="E261">
            <v>142</v>
          </cell>
          <cell r="F261">
            <v>206</v>
          </cell>
          <cell r="G261">
            <v>1393</v>
          </cell>
          <cell r="H261">
            <v>181</v>
          </cell>
          <cell r="I261">
            <v>6279</v>
          </cell>
          <cell r="J261">
            <v>0</v>
          </cell>
          <cell r="K261">
            <v>6880</v>
          </cell>
          <cell r="L261">
            <v>23</v>
          </cell>
          <cell r="M261">
            <v>657</v>
          </cell>
          <cell r="N261">
            <v>70</v>
          </cell>
          <cell r="O261">
            <v>15</v>
          </cell>
          <cell r="P261">
            <v>88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B262" t="str">
            <v>Di Akhir Triwulan</v>
          </cell>
          <cell r="C262" t="str">
            <v>TBM</v>
          </cell>
          <cell r="D262">
            <v>489</v>
          </cell>
          <cell r="E262">
            <v>65</v>
          </cell>
          <cell r="F262">
            <v>114</v>
          </cell>
          <cell r="G262">
            <v>478</v>
          </cell>
          <cell r="I262">
            <v>225</v>
          </cell>
          <cell r="K262">
            <v>600</v>
          </cell>
          <cell r="L262">
            <v>12</v>
          </cell>
          <cell r="M262">
            <v>64</v>
          </cell>
          <cell r="N262">
            <v>10</v>
          </cell>
          <cell r="O262">
            <v>3</v>
          </cell>
          <cell r="P262">
            <v>50</v>
          </cell>
        </row>
        <row r="263">
          <cell r="C263" t="str">
            <v>TPSM</v>
          </cell>
          <cell r="D263">
            <v>904</v>
          </cell>
          <cell r="E263">
            <v>44</v>
          </cell>
          <cell r="F263">
            <v>62</v>
          </cell>
          <cell r="G263">
            <v>224</v>
          </cell>
          <cell r="H263">
            <v>52</v>
          </cell>
          <cell r="K263">
            <v>5680</v>
          </cell>
          <cell r="L263">
            <v>9</v>
          </cell>
          <cell r="M263">
            <v>593</v>
          </cell>
          <cell r="N263">
            <v>60</v>
          </cell>
          <cell r="O263">
            <v>11</v>
          </cell>
          <cell r="P263">
            <v>38</v>
          </cell>
        </row>
        <row r="264">
          <cell r="C264" t="str">
            <v>TPBM</v>
          </cell>
          <cell r="D264">
            <v>0</v>
          </cell>
          <cell r="E264">
            <v>33</v>
          </cell>
          <cell r="F264">
            <v>24</v>
          </cell>
          <cell r="G264">
            <v>672</v>
          </cell>
          <cell r="H264">
            <v>129</v>
          </cell>
          <cell r="I264">
            <v>5949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C265" t="str">
            <v>TR</v>
          </cell>
          <cell r="D265">
            <v>7</v>
          </cell>
          <cell r="F265">
            <v>6</v>
          </cell>
          <cell r="G265">
            <v>19</v>
          </cell>
          <cell r="I265">
            <v>105</v>
          </cell>
          <cell r="K265">
            <v>600</v>
          </cell>
          <cell r="L265">
            <v>2</v>
          </cell>
          <cell r="O265">
            <v>1</v>
          </cell>
        </row>
        <row r="266">
          <cell r="B266" t="str">
            <v>Produksi</v>
          </cell>
          <cell r="C266" t="str">
            <v>(kuintal)</v>
          </cell>
          <cell r="D266">
            <v>135</v>
          </cell>
          <cell r="E266">
            <v>22</v>
          </cell>
          <cell r="F266">
            <v>74.400000000000006</v>
          </cell>
          <cell r="G266">
            <v>56.08</v>
          </cell>
          <cell r="H266">
            <v>21</v>
          </cell>
          <cell r="I266">
            <v>0</v>
          </cell>
          <cell r="J266">
            <v>0</v>
          </cell>
          <cell r="K266">
            <v>550</v>
          </cell>
          <cell r="L266">
            <v>3</v>
          </cell>
          <cell r="M266">
            <v>3149.1</v>
          </cell>
          <cell r="N266">
            <v>18</v>
          </cell>
          <cell r="O266">
            <v>5.63</v>
          </cell>
          <cell r="P266">
            <v>23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B267" t="str">
            <v>Provitas</v>
          </cell>
          <cell r="C267" t="str">
            <v>(ku/pohon)</v>
          </cell>
          <cell r="D267">
            <v>0.14933628318584072</v>
          </cell>
          <cell r="E267">
            <v>0.5</v>
          </cell>
          <cell r="F267">
            <v>1.2000000000000002</v>
          </cell>
          <cell r="G267">
            <v>0.25035714285714283</v>
          </cell>
          <cell r="H267">
            <v>0.40384615384615385</v>
          </cell>
          <cell r="I267" t="e">
            <v>#DIV/0!</v>
          </cell>
          <cell r="J267" t="e">
            <v>#DIV/0!</v>
          </cell>
          <cell r="K267">
            <v>9.6830985915492954E-2</v>
          </cell>
          <cell r="L267">
            <v>0.33333333333333331</v>
          </cell>
          <cell r="M267">
            <v>5.3104553119730182</v>
          </cell>
          <cell r="N267">
            <v>0.3</v>
          </cell>
          <cell r="O267">
            <v>0.51181818181818184</v>
          </cell>
          <cell r="P267">
            <v>0.60526315789473684</v>
          </cell>
          <cell r="Q267" t="e">
            <v>#DIV/0!</v>
          </cell>
          <cell r="R267" t="e">
            <v>#DIV/0!</v>
          </cell>
          <cell r="S267" t="e">
            <v>#DIV/0!</v>
          </cell>
          <cell r="T267" t="e">
            <v>#DIV/0!</v>
          </cell>
        </row>
        <row r="268">
          <cell r="B268" t="str">
            <v>Harga/kg</v>
          </cell>
          <cell r="C268" t="str">
            <v>Rupiah</v>
          </cell>
          <cell r="D268">
            <v>5400</v>
          </cell>
          <cell r="E268">
            <v>4000</v>
          </cell>
          <cell r="F268">
            <v>10000</v>
          </cell>
          <cell r="G268">
            <v>3500</v>
          </cell>
          <cell r="H268">
            <v>2500</v>
          </cell>
          <cell r="I268">
            <v>0</v>
          </cell>
          <cell r="J268">
            <v>0</v>
          </cell>
          <cell r="K268">
            <v>10000</v>
          </cell>
          <cell r="L268">
            <v>5000</v>
          </cell>
          <cell r="M268">
            <v>6000</v>
          </cell>
          <cell r="N268">
            <v>4000</v>
          </cell>
          <cell r="O268">
            <v>5000</v>
          </cell>
          <cell r="P268">
            <v>7000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 t="str">
            <v>Melinjo</v>
          </cell>
          <cell r="B269" t="str">
            <v>Tan Akhir Trw lalu</v>
          </cell>
          <cell r="C269" t="str">
            <v>Pohon/rumpun</v>
          </cell>
          <cell r="D269">
            <v>4270</v>
          </cell>
          <cell r="E269">
            <v>275</v>
          </cell>
          <cell r="F269">
            <v>12792</v>
          </cell>
          <cell r="G269">
            <v>14086</v>
          </cell>
          <cell r="H269">
            <v>2115</v>
          </cell>
          <cell r="I269">
            <v>32186</v>
          </cell>
          <cell r="J269">
            <v>57</v>
          </cell>
          <cell r="K269">
            <v>400</v>
          </cell>
          <cell r="L269">
            <v>798</v>
          </cell>
          <cell r="M269">
            <v>1350</v>
          </cell>
          <cell r="N269">
            <v>60</v>
          </cell>
          <cell r="O269">
            <v>290</v>
          </cell>
          <cell r="P269">
            <v>0</v>
          </cell>
          <cell r="Q269">
            <v>0</v>
          </cell>
          <cell r="R269">
            <v>40</v>
          </cell>
          <cell r="S269">
            <v>850</v>
          </cell>
          <cell r="T269">
            <v>0</v>
          </cell>
        </row>
        <row r="270">
          <cell r="B270" t="str">
            <v>Selama Triwulan</v>
          </cell>
          <cell r="C270" t="str">
            <v>Bongkar</v>
          </cell>
          <cell r="F270">
            <v>312</v>
          </cell>
          <cell r="G270">
            <v>18</v>
          </cell>
          <cell r="H270">
            <v>24</v>
          </cell>
          <cell r="I270">
            <v>44</v>
          </cell>
          <cell r="K270">
            <v>10</v>
          </cell>
          <cell r="L270">
            <v>15</v>
          </cell>
          <cell r="M270">
            <v>77</v>
          </cell>
          <cell r="O270">
            <v>87</v>
          </cell>
          <cell r="R270">
            <v>5</v>
          </cell>
        </row>
        <row r="271">
          <cell r="C271" t="str">
            <v>Baru</v>
          </cell>
          <cell r="H271">
            <v>27</v>
          </cell>
          <cell r="O271">
            <v>87</v>
          </cell>
        </row>
        <row r="272">
          <cell r="B272" t="str">
            <v xml:space="preserve">∑ Tanaman Akhir </v>
          </cell>
          <cell r="C272" t="str">
            <v>Pohon/rumpun</v>
          </cell>
          <cell r="D272">
            <v>4270</v>
          </cell>
          <cell r="E272">
            <v>275</v>
          </cell>
          <cell r="F272">
            <v>12480</v>
          </cell>
          <cell r="G272">
            <v>14068</v>
          </cell>
          <cell r="H272">
            <v>2118</v>
          </cell>
          <cell r="I272">
            <v>32142</v>
          </cell>
          <cell r="J272">
            <v>57</v>
          </cell>
          <cell r="K272">
            <v>390</v>
          </cell>
          <cell r="L272">
            <v>783</v>
          </cell>
          <cell r="M272">
            <v>1273</v>
          </cell>
          <cell r="N272">
            <v>60</v>
          </cell>
          <cell r="O272">
            <v>290</v>
          </cell>
          <cell r="P272">
            <v>0</v>
          </cell>
          <cell r="Q272">
            <v>0</v>
          </cell>
          <cell r="R272">
            <v>35</v>
          </cell>
          <cell r="S272">
            <v>850</v>
          </cell>
          <cell r="T272">
            <v>0</v>
          </cell>
        </row>
        <row r="273">
          <cell r="B273" t="str">
            <v>Di Akhir Triwulan</v>
          </cell>
          <cell r="C273" t="str">
            <v>TBM</v>
          </cell>
          <cell r="D273">
            <v>745</v>
          </cell>
          <cell r="E273">
            <v>125</v>
          </cell>
          <cell r="F273">
            <v>6112</v>
          </cell>
          <cell r="G273">
            <v>1712</v>
          </cell>
          <cell r="H273">
            <v>66</v>
          </cell>
          <cell r="I273">
            <v>1660</v>
          </cell>
          <cell r="K273">
            <v>20</v>
          </cell>
          <cell r="L273">
            <v>350</v>
          </cell>
          <cell r="M273">
            <v>301</v>
          </cell>
          <cell r="N273">
            <v>6</v>
          </cell>
          <cell r="O273">
            <v>58</v>
          </cell>
          <cell r="R273">
            <v>3</v>
          </cell>
          <cell r="S273">
            <v>200</v>
          </cell>
        </row>
        <row r="274">
          <cell r="C274" t="str">
            <v>TPSM</v>
          </cell>
          <cell r="D274">
            <v>3520</v>
          </cell>
          <cell r="F274">
            <v>6134</v>
          </cell>
          <cell r="G274">
            <v>6564</v>
          </cell>
          <cell r="H274">
            <v>540</v>
          </cell>
          <cell r="I274">
            <v>4285</v>
          </cell>
          <cell r="J274">
            <v>57</v>
          </cell>
          <cell r="K274">
            <v>340</v>
          </cell>
          <cell r="L274">
            <v>412</v>
          </cell>
          <cell r="M274">
            <v>972</v>
          </cell>
          <cell r="N274">
            <v>54</v>
          </cell>
          <cell r="O274">
            <v>218</v>
          </cell>
          <cell r="R274">
            <v>32</v>
          </cell>
          <cell r="S274">
            <v>650</v>
          </cell>
        </row>
        <row r="275">
          <cell r="C275" t="str">
            <v>TPBM</v>
          </cell>
          <cell r="D275">
            <v>0</v>
          </cell>
          <cell r="E275">
            <v>150</v>
          </cell>
          <cell r="F275">
            <v>200</v>
          </cell>
          <cell r="G275">
            <v>5730</v>
          </cell>
          <cell r="H275">
            <v>1512</v>
          </cell>
          <cell r="I275">
            <v>25882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C276" t="str">
            <v>TR</v>
          </cell>
          <cell r="D276">
            <v>5</v>
          </cell>
          <cell r="F276">
            <v>34</v>
          </cell>
          <cell r="G276">
            <v>62</v>
          </cell>
          <cell r="I276">
            <v>315</v>
          </cell>
          <cell r="K276">
            <v>30</v>
          </cell>
          <cell r="L276">
            <v>21</v>
          </cell>
          <cell r="O276">
            <v>14</v>
          </cell>
        </row>
        <row r="277">
          <cell r="B277" t="str">
            <v>Produksi</v>
          </cell>
          <cell r="C277" t="str">
            <v>(kuintal)</v>
          </cell>
          <cell r="D277">
            <v>316</v>
          </cell>
          <cell r="E277">
            <v>0</v>
          </cell>
          <cell r="F277">
            <v>797.81</v>
          </cell>
          <cell r="G277">
            <v>1050.54</v>
          </cell>
          <cell r="H277">
            <v>320</v>
          </cell>
          <cell r="I277">
            <v>685.8</v>
          </cell>
          <cell r="J277">
            <v>8.6</v>
          </cell>
          <cell r="K277">
            <v>30</v>
          </cell>
          <cell r="L277">
            <v>46</v>
          </cell>
          <cell r="M277">
            <v>63.94</v>
          </cell>
          <cell r="N277">
            <v>8</v>
          </cell>
          <cell r="O277">
            <v>44</v>
          </cell>
          <cell r="P277">
            <v>0</v>
          </cell>
          <cell r="Q277">
            <v>0</v>
          </cell>
          <cell r="R277">
            <v>0.15</v>
          </cell>
          <cell r="S277">
            <v>32</v>
          </cell>
          <cell r="T277">
            <v>0</v>
          </cell>
        </row>
        <row r="278">
          <cell r="B278" t="str">
            <v>Provitas</v>
          </cell>
          <cell r="C278" t="str">
            <v>(ku/pohon)</v>
          </cell>
          <cell r="D278">
            <v>8.9772727272727268E-2</v>
          </cell>
          <cell r="E278" t="e">
            <v>#DIV/0!</v>
          </cell>
          <cell r="F278">
            <v>0.13006358004564719</v>
          </cell>
          <cell r="G278">
            <v>0.16004570383912248</v>
          </cell>
          <cell r="H278">
            <v>0.59259259259259256</v>
          </cell>
          <cell r="I278">
            <v>0.16004667444574094</v>
          </cell>
          <cell r="J278">
            <v>0.15087719298245614</v>
          </cell>
          <cell r="K278">
            <v>8.8235294117647065E-2</v>
          </cell>
          <cell r="L278">
            <v>0.11165048543689321</v>
          </cell>
          <cell r="M278">
            <v>6.578189300411523E-2</v>
          </cell>
          <cell r="N278">
            <v>0.14814814814814814</v>
          </cell>
          <cell r="O278">
            <v>0.20183486238532111</v>
          </cell>
          <cell r="P278" t="e">
            <v>#DIV/0!</v>
          </cell>
          <cell r="Q278" t="e">
            <v>#DIV/0!</v>
          </cell>
          <cell r="R278">
            <v>4.6874999999999998E-3</v>
          </cell>
          <cell r="S278">
            <v>4.9230769230769231E-2</v>
          </cell>
          <cell r="T278" t="e">
            <v>#DIV/0!</v>
          </cell>
        </row>
        <row r="279">
          <cell r="B279" t="str">
            <v>Harga/kg</v>
          </cell>
          <cell r="C279" t="str">
            <v>Rupiah</v>
          </cell>
          <cell r="D279">
            <v>7500</v>
          </cell>
          <cell r="E279">
            <v>0</v>
          </cell>
          <cell r="F279">
            <v>25000</v>
          </cell>
          <cell r="G279">
            <v>3000</v>
          </cell>
          <cell r="H279">
            <v>5000</v>
          </cell>
          <cell r="I279">
            <v>15000</v>
          </cell>
          <cell r="J279">
            <v>15000</v>
          </cell>
          <cell r="K279">
            <v>7000</v>
          </cell>
          <cell r="L279">
            <v>12000</v>
          </cell>
          <cell r="M279">
            <v>12500</v>
          </cell>
          <cell r="N279">
            <v>15000</v>
          </cell>
          <cell r="O279">
            <v>25000</v>
          </cell>
          <cell r="P279">
            <v>0</v>
          </cell>
          <cell r="Q279">
            <v>0</v>
          </cell>
          <cell r="R279">
            <v>10000</v>
          </cell>
          <cell r="S279">
            <v>12000</v>
          </cell>
          <cell r="T279">
            <v>0</v>
          </cell>
        </row>
        <row r="280">
          <cell r="A280" t="str">
            <v>Petai</v>
          </cell>
          <cell r="B280" t="str">
            <v>Tan Akhir Trw lalu</v>
          </cell>
          <cell r="C280" t="str">
            <v>Pohon/rumpun</v>
          </cell>
          <cell r="D280">
            <v>4860</v>
          </cell>
          <cell r="E280">
            <v>14535</v>
          </cell>
          <cell r="F280">
            <v>5077</v>
          </cell>
          <cell r="G280">
            <v>11408</v>
          </cell>
          <cell r="H280">
            <v>2611</v>
          </cell>
          <cell r="I280">
            <v>3544</v>
          </cell>
          <cell r="J280">
            <v>75</v>
          </cell>
          <cell r="K280">
            <v>1600</v>
          </cell>
          <cell r="L280">
            <v>9765</v>
          </cell>
          <cell r="M280">
            <v>1142</v>
          </cell>
          <cell r="N280">
            <v>110</v>
          </cell>
          <cell r="O280">
            <v>73</v>
          </cell>
          <cell r="P280">
            <v>105</v>
          </cell>
          <cell r="Q280">
            <v>77</v>
          </cell>
          <cell r="R280">
            <v>62</v>
          </cell>
          <cell r="S280">
            <v>0</v>
          </cell>
          <cell r="T280">
            <v>0</v>
          </cell>
        </row>
        <row r="281">
          <cell r="B281" t="str">
            <v>Selama Triwulan</v>
          </cell>
          <cell r="C281" t="str">
            <v>Bongkar</v>
          </cell>
          <cell r="E281">
            <v>7</v>
          </cell>
          <cell r="F281">
            <v>134</v>
          </cell>
          <cell r="G281">
            <v>24</v>
          </cell>
          <cell r="H281">
            <v>8</v>
          </cell>
          <cell r="I281">
            <v>16</v>
          </cell>
          <cell r="K281">
            <v>10</v>
          </cell>
          <cell r="L281">
            <v>128</v>
          </cell>
          <cell r="M281">
            <v>81</v>
          </cell>
          <cell r="O281">
            <v>22</v>
          </cell>
          <cell r="P281">
            <v>7</v>
          </cell>
        </row>
        <row r="282">
          <cell r="C282" t="str">
            <v>Baru</v>
          </cell>
          <cell r="F282">
            <v>50</v>
          </cell>
          <cell r="G282">
            <v>3</v>
          </cell>
          <cell r="O282">
            <v>22</v>
          </cell>
        </row>
        <row r="283">
          <cell r="B283" t="str">
            <v xml:space="preserve">∑ Tanaman Akhir </v>
          </cell>
          <cell r="C283" t="str">
            <v>Pohon/rumpun</v>
          </cell>
          <cell r="D283">
            <v>4860</v>
          </cell>
          <cell r="E283">
            <v>14528</v>
          </cell>
          <cell r="F283">
            <v>4993</v>
          </cell>
          <cell r="G283">
            <v>11387</v>
          </cell>
          <cell r="H283">
            <v>2603</v>
          </cell>
          <cell r="I283">
            <v>3528</v>
          </cell>
          <cell r="J283">
            <v>75</v>
          </cell>
          <cell r="K283">
            <v>1590</v>
          </cell>
          <cell r="L283">
            <v>9637</v>
          </cell>
          <cell r="M283">
            <v>1061</v>
          </cell>
          <cell r="N283">
            <v>110</v>
          </cell>
          <cell r="O283">
            <v>73</v>
          </cell>
          <cell r="P283">
            <v>98</v>
          </cell>
          <cell r="Q283">
            <v>77</v>
          </cell>
          <cell r="R283">
            <v>62</v>
          </cell>
          <cell r="S283">
            <v>0</v>
          </cell>
          <cell r="T283">
            <v>0</v>
          </cell>
        </row>
        <row r="284">
          <cell r="B284" t="str">
            <v>Di Akhir Triwulan</v>
          </cell>
          <cell r="C284" t="str">
            <v>TBM</v>
          </cell>
          <cell r="D284">
            <v>1054</v>
          </cell>
          <cell r="E284">
            <v>2050</v>
          </cell>
          <cell r="F284">
            <v>1893</v>
          </cell>
          <cell r="G284">
            <v>1256</v>
          </cell>
          <cell r="H284">
            <v>636</v>
          </cell>
          <cell r="I284">
            <v>1324</v>
          </cell>
          <cell r="K284">
            <v>770</v>
          </cell>
          <cell r="L284">
            <v>8748</v>
          </cell>
          <cell r="M284">
            <v>166</v>
          </cell>
          <cell r="N284">
            <v>90</v>
          </cell>
          <cell r="O284">
            <v>15</v>
          </cell>
          <cell r="P284">
            <v>54</v>
          </cell>
          <cell r="Q284">
            <v>18</v>
          </cell>
          <cell r="R284">
            <v>58</v>
          </cell>
        </row>
        <row r="285">
          <cell r="C285" t="str">
            <v>TPSM</v>
          </cell>
          <cell r="D285">
            <v>3800</v>
          </cell>
          <cell r="E285">
            <v>445</v>
          </cell>
          <cell r="F285">
            <v>2297</v>
          </cell>
          <cell r="G285">
            <v>2435</v>
          </cell>
          <cell r="H285">
            <v>1823</v>
          </cell>
          <cell r="I285">
            <v>485</v>
          </cell>
          <cell r="J285">
            <v>75</v>
          </cell>
          <cell r="K285">
            <v>720</v>
          </cell>
          <cell r="L285">
            <v>569</v>
          </cell>
          <cell r="M285">
            <v>895</v>
          </cell>
          <cell r="N285">
            <v>20</v>
          </cell>
          <cell r="O285">
            <v>55</v>
          </cell>
          <cell r="P285">
            <v>44</v>
          </cell>
          <cell r="Q285">
            <v>59</v>
          </cell>
        </row>
        <row r="286">
          <cell r="C286" t="str">
            <v>TPBM</v>
          </cell>
          <cell r="D286">
            <v>0</v>
          </cell>
          <cell r="E286">
            <v>12033</v>
          </cell>
          <cell r="F286">
            <v>788</v>
          </cell>
          <cell r="G286">
            <v>7624</v>
          </cell>
          <cell r="H286">
            <v>144</v>
          </cell>
          <cell r="I286">
            <v>1696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C287" t="str">
            <v>TR</v>
          </cell>
          <cell r="D287">
            <v>6</v>
          </cell>
          <cell r="F287">
            <v>15</v>
          </cell>
          <cell r="G287">
            <v>72</v>
          </cell>
          <cell r="I287">
            <v>23</v>
          </cell>
          <cell r="K287">
            <v>100</v>
          </cell>
          <cell r="L287">
            <v>320</v>
          </cell>
          <cell r="O287">
            <v>3</v>
          </cell>
          <cell r="R287">
            <v>4</v>
          </cell>
        </row>
        <row r="288">
          <cell r="B288" t="str">
            <v>Produksi</v>
          </cell>
          <cell r="C288" t="str">
            <v>(kuintal)</v>
          </cell>
          <cell r="D288">
            <v>645</v>
          </cell>
          <cell r="E288">
            <v>156</v>
          </cell>
          <cell r="F288">
            <v>803.95</v>
          </cell>
          <cell r="G288">
            <v>852.24</v>
          </cell>
          <cell r="H288">
            <v>2297</v>
          </cell>
          <cell r="I288">
            <v>169.75</v>
          </cell>
          <cell r="J288">
            <v>15</v>
          </cell>
          <cell r="K288">
            <v>100</v>
          </cell>
          <cell r="L288">
            <v>217</v>
          </cell>
          <cell r="M288">
            <v>164.17</v>
          </cell>
          <cell r="N288">
            <v>3</v>
          </cell>
          <cell r="O288">
            <v>16.43</v>
          </cell>
          <cell r="P288">
            <v>17.32</v>
          </cell>
          <cell r="Q288">
            <v>2.36</v>
          </cell>
          <cell r="R288">
            <v>0</v>
          </cell>
          <cell r="S288">
            <v>0</v>
          </cell>
          <cell r="T288">
            <v>0</v>
          </cell>
        </row>
        <row r="289">
          <cell r="B289" t="str">
            <v>Provitas</v>
          </cell>
          <cell r="C289" t="str">
            <v>(ku/pohon)</v>
          </cell>
          <cell r="D289">
            <v>0.16973684210526316</v>
          </cell>
          <cell r="E289">
            <v>0.35056179775280899</v>
          </cell>
          <cell r="F289">
            <v>0.35000000000000003</v>
          </cell>
          <cell r="G289">
            <v>0.3499958932238193</v>
          </cell>
          <cell r="H289">
            <v>1.2600109709270433</v>
          </cell>
          <cell r="I289">
            <v>0.35</v>
          </cell>
          <cell r="J289">
            <v>0.2</v>
          </cell>
          <cell r="K289">
            <v>0.1388888888888889</v>
          </cell>
          <cell r="L289">
            <v>0.38137082601054484</v>
          </cell>
          <cell r="M289">
            <v>0.18343016759776534</v>
          </cell>
          <cell r="N289">
            <v>0.15</v>
          </cell>
          <cell r="O289">
            <v>0.29872727272727273</v>
          </cell>
          <cell r="P289">
            <v>0.39363636363636362</v>
          </cell>
          <cell r="Q289">
            <v>0.04</v>
          </cell>
          <cell r="R289" t="e">
            <v>#DIV/0!</v>
          </cell>
          <cell r="S289" t="e">
            <v>#DIV/0!</v>
          </cell>
          <cell r="T289" t="e">
            <v>#DIV/0!</v>
          </cell>
        </row>
        <row r="290">
          <cell r="B290" t="str">
            <v>Harga/kg</v>
          </cell>
          <cell r="C290" t="str">
            <v>Rupiah</v>
          </cell>
          <cell r="D290">
            <v>20000</v>
          </cell>
          <cell r="E290">
            <v>18000</v>
          </cell>
          <cell r="F290">
            <v>40000</v>
          </cell>
          <cell r="G290">
            <v>9000</v>
          </cell>
          <cell r="H290">
            <v>9000</v>
          </cell>
          <cell r="I290">
            <v>20000</v>
          </cell>
          <cell r="J290">
            <v>4000</v>
          </cell>
          <cell r="K290">
            <v>12000</v>
          </cell>
          <cell r="L290">
            <v>6000</v>
          </cell>
          <cell r="M290">
            <v>12500</v>
          </cell>
          <cell r="N290">
            <v>20000</v>
          </cell>
          <cell r="O290">
            <v>12000</v>
          </cell>
          <cell r="P290">
            <v>30000</v>
          </cell>
          <cell r="Q290">
            <v>8000</v>
          </cell>
          <cell r="R290">
            <v>0</v>
          </cell>
          <cell r="S290">
            <v>0</v>
          </cell>
          <cell r="T290">
            <v>0</v>
          </cell>
        </row>
        <row r="291">
          <cell r="A291" t="str">
            <v>Jengkol</v>
          </cell>
          <cell r="B291" t="str">
            <v>Tan Akhir Trw lalu</v>
          </cell>
          <cell r="C291" t="str">
            <v>Pohon/rumpun</v>
          </cell>
          <cell r="D291">
            <v>645</v>
          </cell>
          <cell r="E291">
            <v>375</v>
          </cell>
          <cell r="F291">
            <v>0</v>
          </cell>
          <cell r="G291">
            <v>0</v>
          </cell>
          <cell r="H291">
            <v>0</v>
          </cell>
          <cell r="I291">
            <v>212</v>
          </cell>
          <cell r="J291">
            <v>0</v>
          </cell>
          <cell r="K291">
            <v>0</v>
          </cell>
          <cell r="L291">
            <v>280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B292" t="str">
            <v>Selama Triwulan</v>
          </cell>
          <cell r="C292" t="str">
            <v>Bongkar</v>
          </cell>
          <cell r="L292">
            <v>13</v>
          </cell>
        </row>
        <row r="293">
          <cell r="C293" t="str">
            <v>Baru</v>
          </cell>
        </row>
        <row r="294">
          <cell r="B294" t="str">
            <v xml:space="preserve">∑ Tanaman Akhir </v>
          </cell>
          <cell r="C294" t="str">
            <v>Pohon/rumpun</v>
          </cell>
          <cell r="D294">
            <v>645</v>
          </cell>
          <cell r="E294">
            <v>375</v>
          </cell>
          <cell r="F294">
            <v>0</v>
          </cell>
          <cell r="G294">
            <v>0</v>
          </cell>
          <cell r="H294">
            <v>0</v>
          </cell>
          <cell r="I294">
            <v>212</v>
          </cell>
          <cell r="J294">
            <v>0</v>
          </cell>
          <cell r="K294">
            <v>0</v>
          </cell>
          <cell r="L294">
            <v>267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B295" t="str">
            <v>Di Akhir Triwulan</v>
          </cell>
          <cell r="C295" t="str">
            <v>TBM</v>
          </cell>
          <cell r="D295">
            <v>175</v>
          </cell>
          <cell r="E295">
            <v>375</v>
          </cell>
          <cell r="I295">
            <v>38</v>
          </cell>
          <cell r="L295">
            <v>239</v>
          </cell>
        </row>
        <row r="296">
          <cell r="C296" t="str">
            <v>TPSM</v>
          </cell>
          <cell r="D296">
            <v>464</v>
          </cell>
          <cell r="L296">
            <v>14</v>
          </cell>
        </row>
        <row r="297">
          <cell r="C297" t="str">
            <v>TPBM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161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C298" t="str">
            <v>TR</v>
          </cell>
          <cell r="D298">
            <v>6</v>
          </cell>
          <cell r="I298">
            <v>13</v>
          </cell>
          <cell r="L298">
            <v>14</v>
          </cell>
        </row>
        <row r="299">
          <cell r="B299" t="str">
            <v>Produksi</v>
          </cell>
          <cell r="C299" t="str">
            <v>(kuintal)</v>
          </cell>
          <cell r="D299">
            <v>466.4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5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B300" t="str">
            <v>Provitas</v>
          </cell>
          <cell r="C300" t="str">
            <v>(ku/pohon)</v>
          </cell>
          <cell r="D300">
            <v>1.0051724137931033</v>
          </cell>
          <cell r="E300" t="e">
            <v>#DIV/0!</v>
          </cell>
          <cell r="F300" t="e">
            <v>#DIV/0!</v>
          </cell>
          <cell r="G300" t="e">
            <v>#DIV/0!</v>
          </cell>
          <cell r="H300" t="e">
            <v>#DIV/0!</v>
          </cell>
          <cell r="I300" t="e">
            <v>#DIV/0!</v>
          </cell>
          <cell r="J300" t="e">
            <v>#DIV/0!</v>
          </cell>
          <cell r="K300" t="e">
            <v>#DIV/0!</v>
          </cell>
          <cell r="L300">
            <v>0.35714285714285715</v>
          </cell>
          <cell r="M300" t="e">
            <v>#DIV/0!</v>
          </cell>
          <cell r="N300" t="e">
            <v>#DIV/0!</v>
          </cell>
          <cell r="O300" t="e">
            <v>#DIV/0!</v>
          </cell>
          <cell r="P300" t="e">
            <v>#DIV/0!</v>
          </cell>
          <cell r="Q300" t="e">
            <v>#DIV/0!</v>
          </cell>
          <cell r="R300" t="e">
            <v>#DIV/0!</v>
          </cell>
          <cell r="S300" t="e">
            <v>#DIV/0!</v>
          </cell>
          <cell r="T300" t="e">
            <v>#DIV/0!</v>
          </cell>
        </row>
        <row r="301">
          <cell r="B301" t="str">
            <v>Harga/kg</v>
          </cell>
          <cell r="C301" t="str">
            <v>Rupiah</v>
          </cell>
          <cell r="D301">
            <v>20000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21000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</sheetData>
      <sheetData sheetId="2">
        <row r="4">
          <cell r="A4" t="str">
            <v>Tanaman</v>
          </cell>
          <cell r="B4" t="str">
            <v>Jenis Data</v>
          </cell>
          <cell r="D4" t="str">
            <v xml:space="preserve">SALEM </v>
          </cell>
          <cell r="E4" t="str">
            <v xml:space="preserve">BANTARKAWUNG </v>
          </cell>
          <cell r="F4" t="str">
            <v>BUMIAYU</v>
          </cell>
          <cell r="G4" t="str">
            <v>PAGUYANGAN</v>
          </cell>
          <cell r="H4" t="str">
            <v>SIRAMPOG</v>
          </cell>
          <cell r="I4" t="str">
            <v xml:space="preserve">TONJONG </v>
          </cell>
          <cell r="J4" t="str">
            <v xml:space="preserve">LARANGAN  </v>
          </cell>
          <cell r="K4" t="str">
            <v>KETANGGUNGAN</v>
          </cell>
          <cell r="L4" t="str">
            <v>BANJARHARJO</v>
          </cell>
          <cell r="M4" t="str">
            <v>LOSARI</v>
          </cell>
          <cell r="N4" t="str">
            <v>TANJUNG</v>
          </cell>
          <cell r="O4" t="str">
            <v>KERSANA</v>
          </cell>
          <cell r="P4" t="str">
            <v>BULAKAMBA</v>
          </cell>
          <cell r="Q4" t="str">
            <v>WANASARI</v>
          </cell>
          <cell r="R4" t="str">
            <v>SONGGOM</v>
          </cell>
          <cell r="S4" t="str">
            <v>JATIBARANG</v>
          </cell>
          <cell r="T4" t="str">
            <v xml:space="preserve">BREBES </v>
          </cell>
        </row>
        <row r="5">
          <cell r="A5" t="str">
            <v>Alpukat</v>
          </cell>
          <cell r="B5" t="str">
            <v>Tan Akhir Trw lalu</v>
          </cell>
          <cell r="C5" t="str">
            <v>Pohon/rumpun</v>
          </cell>
          <cell r="D5">
            <v>3340</v>
          </cell>
          <cell r="E5">
            <v>900</v>
          </cell>
          <cell r="F5">
            <v>428</v>
          </cell>
          <cell r="G5">
            <v>1133</v>
          </cell>
          <cell r="H5">
            <v>2147</v>
          </cell>
          <cell r="I5">
            <v>5154</v>
          </cell>
          <cell r="J5">
            <v>2</v>
          </cell>
          <cell r="K5">
            <v>0</v>
          </cell>
          <cell r="L5">
            <v>38</v>
          </cell>
          <cell r="M5">
            <v>18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B6" t="str">
            <v>Selama Triwulan</v>
          </cell>
          <cell r="C6" t="str">
            <v>Bongkar</v>
          </cell>
          <cell r="F6">
            <v>56</v>
          </cell>
          <cell r="G6">
            <v>18</v>
          </cell>
          <cell r="I6">
            <v>20</v>
          </cell>
        </row>
        <row r="7">
          <cell r="C7" t="str">
            <v>Baru</v>
          </cell>
          <cell r="G7">
            <v>8</v>
          </cell>
        </row>
        <row r="8">
          <cell r="B8" t="str">
            <v xml:space="preserve">∑ Tanaman Akhir </v>
          </cell>
          <cell r="C8" t="str">
            <v>Pohon/rumpun</v>
          </cell>
          <cell r="D8">
            <v>3340</v>
          </cell>
          <cell r="E8">
            <v>900</v>
          </cell>
          <cell r="F8">
            <v>372</v>
          </cell>
          <cell r="G8">
            <v>1123</v>
          </cell>
          <cell r="H8">
            <v>2147</v>
          </cell>
          <cell r="I8">
            <v>5134</v>
          </cell>
          <cell r="J8">
            <v>2</v>
          </cell>
          <cell r="K8">
            <v>0</v>
          </cell>
          <cell r="L8">
            <v>38</v>
          </cell>
          <cell r="M8">
            <v>18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B9" t="str">
            <v>Di Akhir Triwulan</v>
          </cell>
          <cell r="C9" t="str">
            <v>TBM</v>
          </cell>
          <cell r="D9">
            <v>3140</v>
          </cell>
          <cell r="E9">
            <v>650</v>
          </cell>
          <cell r="F9">
            <v>45</v>
          </cell>
          <cell r="G9">
            <v>515</v>
          </cell>
          <cell r="H9">
            <v>733</v>
          </cell>
          <cell r="I9">
            <v>3715</v>
          </cell>
          <cell r="J9">
            <v>2</v>
          </cell>
          <cell r="L9">
            <v>38</v>
          </cell>
        </row>
        <row r="10">
          <cell r="C10" t="str">
            <v>TPSM</v>
          </cell>
          <cell r="D10">
            <v>135</v>
          </cell>
          <cell r="F10">
            <v>317</v>
          </cell>
          <cell r="G10">
            <v>220</v>
          </cell>
          <cell r="H10">
            <v>751</v>
          </cell>
          <cell r="M10">
            <v>18</v>
          </cell>
        </row>
        <row r="11">
          <cell r="C11" t="str">
            <v>TPBM</v>
          </cell>
          <cell r="D11">
            <v>0</v>
          </cell>
          <cell r="E11">
            <v>250</v>
          </cell>
          <cell r="F11">
            <v>10</v>
          </cell>
          <cell r="G11">
            <v>379</v>
          </cell>
          <cell r="H11">
            <v>663</v>
          </cell>
          <cell r="I11">
            <v>1395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C12" t="str">
            <v>TR</v>
          </cell>
          <cell r="D12">
            <v>65</v>
          </cell>
          <cell r="G12">
            <v>9</v>
          </cell>
          <cell r="I12">
            <v>24</v>
          </cell>
        </row>
        <row r="13">
          <cell r="B13" t="str">
            <v>Produksi</v>
          </cell>
          <cell r="C13" t="str">
            <v>(kuintal)</v>
          </cell>
          <cell r="D13">
            <v>115</v>
          </cell>
          <cell r="E13">
            <v>0</v>
          </cell>
          <cell r="F13">
            <v>53.95</v>
          </cell>
          <cell r="G13">
            <v>79.03</v>
          </cell>
          <cell r="H13">
            <v>650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25.7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B14" t="str">
            <v>Provitas</v>
          </cell>
          <cell r="C14" t="str">
            <v>(ku/pohon)</v>
          </cell>
          <cell r="D14">
            <v>0.85185185185185186</v>
          </cell>
          <cell r="E14" t="e">
            <v>#DIV/0!</v>
          </cell>
          <cell r="F14">
            <v>0.17018927444794954</v>
          </cell>
          <cell r="G14">
            <v>0.35922727272727273</v>
          </cell>
          <cell r="H14">
            <v>0.86551264980026632</v>
          </cell>
          <cell r="I14" t="e">
            <v>#DIV/0!</v>
          </cell>
          <cell r="J14" t="e">
            <v>#DIV/0!</v>
          </cell>
          <cell r="K14" t="e">
            <v>#DIV/0!</v>
          </cell>
          <cell r="L14" t="e">
            <v>#DIV/0!</v>
          </cell>
          <cell r="M14">
            <v>1.4277777777777778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</row>
        <row r="15">
          <cell r="B15" t="str">
            <v>Harga/kg</v>
          </cell>
          <cell r="C15" t="str">
            <v>Rupiah</v>
          </cell>
          <cell r="D15">
            <v>15000</v>
          </cell>
          <cell r="E15">
            <v>0</v>
          </cell>
          <cell r="F15">
            <v>40000</v>
          </cell>
          <cell r="G15">
            <v>15000</v>
          </cell>
          <cell r="H15">
            <v>15200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18000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 t="str">
            <v>Anggur</v>
          </cell>
          <cell r="B16" t="str">
            <v>Tan Akhir Trw lalu</v>
          </cell>
          <cell r="C16" t="str">
            <v>Pohon/rumpun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80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271</v>
          </cell>
          <cell r="S16">
            <v>0</v>
          </cell>
          <cell r="T16">
            <v>0</v>
          </cell>
        </row>
        <row r="17">
          <cell r="B17" t="str">
            <v>Selama Triwulan</v>
          </cell>
          <cell r="C17" t="str">
            <v>Bongkar</v>
          </cell>
        </row>
        <row r="18">
          <cell r="C18" t="str">
            <v>Baru</v>
          </cell>
          <cell r="R18">
            <v>100</v>
          </cell>
        </row>
        <row r="19">
          <cell r="B19" t="str">
            <v xml:space="preserve">∑ Tanaman Akhir </v>
          </cell>
          <cell r="C19" t="str">
            <v>Pohon/rumpun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80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371</v>
          </cell>
          <cell r="S19">
            <v>0</v>
          </cell>
          <cell r="T19">
            <v>0</v>
          </cell>
        </row>
        <row r="20">
          <cell r="B20" t="str">
            <v>Di Akhir Triwulan</v>
          </cell>
          <cell r="C20" t="str">
            <v>TBM</v>
          </cell>
          <cell r="I20">
            <v>25</v>
          </cell>
          <cell r="R20">
            <v>105</v>
          </cell>
        </row>
        <row r="21">
          <cell r="C21" t="str">
            <v>TPSM</v>
          </cell>
          <cell r="I21">
            <v>15</v>
          </cell>
          <cell r="R21">
            <v>181</v>
          </cell>
        </row>
        <row r="22">
          <cell r="C22" t="str">
            <v>TPBM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C23" t="str">
            <v>TR</v>
          </cell>
          <cell r="R23">
            <v>85</v>
          </cell>
        </row>
        <row r="24">
          <cell r="B24" t="str">
            <v>Produksi</v>
          </cell>
          <cell r="C24" t="str">
            <v>(kuintal)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1.5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5.48</v>
          </cell>
          <cell r="S24">
            <v>0</v>
          </cell>
          <cell r="T24">
            <v>0</v>
          </cell>
        </row>
        <row r="25">
          <cell r="B25" t="str">
            <v>Provitas</v>
          </cell>
          <cell r="C25" t="str">
            <v>(ku/pohon)</v>
          </cell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>
            <v>0.1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  <cell r="N25" t="e">
            <v>#DIV/0!</v>
          </cell>
          <cell r="O25" t="e">
            <v>#DIV/0!</v>
          </cell>
          <cell r="P25" t="e">
            <v>#DIV/0!</v>
          </cell>
          <cell r="Q25" t="e">
            <v>#DIV/0!</v>
          </cell>
          <cell r="R25">
            <v>3.0276243093922656E-2</v>
          </cell>
          <cell r="S25" t="e">
            <v>#DIV/0!</v>
          </cell>
          <cell r="T25" t="e">
            <v>#DIV/0!</v>
          </cell>
        </row>
        <row r="26">
          <cell r="B26" t="str">
            <v>Harga/kg</v>
          </cell>
          <cell r="C26" t="str">
            <v>Rupiah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22000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30000</v>
          </cell>
          <cell r="S26">
            <v>0</v>
          </cell>
          <cell r="T26">
            <v>0</v>
          </cell>
        </row>
        <row r="27">
          <cell r="A27" t="str">
            <v>Apel</v>
          </cell>
          <cell r="B27" t="str">
            <v>Tan Akhir Trw lalu</v>
          </cell>
          <cell r="C27" t="str">
            <v>Pohon/rumpun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B28" t="str">
            <v>Selama Triwulan</v>
          </cell>
          <cell r="C28" t="str">
            <v>Bongkar</v>
          </cell>
        </row>
        <row r="29">
          <cell r="C29" t="str">
            <v>Baru</v>
          </cell>
        </row>
        <row r="30">
          <cell r="B30" t="str">
            <v xml:space="preserve">∑ Tanaman Akhir </v>
          </cell>
          <cell r="C30" t="str">
            <v>Pohon/rumpun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Di Akhir Triwulan</v>
          </cell>
          <cell r="C31" t="str">
            <v>TBM</v>
          </cell>
        </row>
        <row r="32">
          <cell r="C32" t="str">
            <v>TPSM</v>
          </cell>
        </row>
        <row r="33">
          <cell r="C33" t="str">
            <v>TPBM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C34" t="str">
            <v>TR</v>
          </cell>
        </row>
        <row r="35">
          <cell r="B35" t="str">
            <v>Produksi</v>
          </cell>
          <cell r="C35" t="str">
            <v>(kuintal)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B36" t="str">
            <v>Provitas</v>
          </cell>
          <cell r="C36" t="str">
            <v>(ku/pohon)</v>
          </cell>
          <cell r="D36" t="e">
            <v>#DIV/0!</v>
          </cell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  <cell r="N36" t="e">
            <v>#DIV/0!</v>
          </cell>
          <cell r="O36" t="e">
            <v>#DIV/0!</v>
          </cell>
          <cell r="P36" t="e">
            <v>#DIV/0!</v>
          </cell>
          <cell r="Q36" t="e">
            <v>#DIV/0!</v>
          </cell>
          <cell r="R36" t="e">
            <v>#DIV/0!</v>
          </cell>
          <cell r="S36" t="e">
            <v>#DIV/0!</v>
          </cell>
          <cell r="T36" t="e">
            <v>#DIV/0!</v>
          </cell>
        </row>
        <row r="37">
          <cell r="B37" t="str">
            <v>Harga/kg</v>
          </cell>
          <cell r="C37" t="str">
            <v>Rupiah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 t="str">
            <v>Belimbing</v>
          </cell>
          <cell r="B38" t="str">
            <v>Tan Akhir Trw lalu</v>
          </cell>
          <cell r="C38" t="str">
            <v>Pohon/rumpun</v>
          </cell>
          <cell r="D38">
            <v>630</v>
          </cell>
          <cell r="E38">
            <v>650</v>
          </cell>
          <cell r="F38">
            <v>242</v>
          </cell>
          <cell r="G38">
            <v>850</v>
          </cell>
          <cell r="H38">
            <v>456</v>
          </cell>
          <cell r="I38">
            <v>516</v>
          </cell>
          <cell r="J38">
            <v>84</v>
          </cell>
          <cell r="K38">
            <v>540</v>
          </cell>
          <cell r="L38">
            <v>3091</v>
          </cell>
          <cell r="M38">
            <v>849</v>
          </cell>
          <cell r="N38">
            <v>170</v>
          </cell>
          <cell r="O38">
            <v>154</v>
          </cell>
          <cell r="P38">
            <v>548</v>
          </cell>
          <cell r="Q38">
            <v>215</v>
          </cell>
          <cell r="R38">
            <v>24</v>
          </cell>
          <cell r="S38">
            <v>352</v>
          </cell>
          <cell r="T38">
            <v>484</v>
          </cell>
        </row>
        <row r="39">
          <cell r="B39" t="str">
            <v>Selama Triwulan</v>
          </cell>
          <cell r="C39" t="str">
            <v>Bongkar</v>
          </cell>
          <cell r="F39">
            <v>10</v>
          </cell>
          <cell r="G39">
            <v>20</v>
          </cell>
          <cell r="I39">
            <v>8</v>
          </cell>
          <cell r="J39">
            <v>4</v>
          </cell>
          <cell r="K39">
            <v>10</v>
          </cell>
          <cell r="L39">
            <v>32</v>
          </cell>
          <cell r="M39">
            <v>33</v>
          </cell>
          <cell r="O39">
            <v>31</v>
          </cell>
          <cell r="P39">
            <v>17</v>
          </cell>
          <cell r="Q39">
            <v>13</v>
          </cell>
        </row>
        <row r="40">
          <cell r="C40" t="str">
            <v>Baru</v>
          </cell>
        </row>
        <row r="41">
          <cell r="B41" t="str">
            <v xml:space="preserve">∑ Tanaman Akhir </v>
          </cell>
          <cell r="C41" t="str">
            <v>Pohon/rumpun</v>
          </cell>
          <cell r="D41">
            <v>630</v>
          </cell>
          <cell r="E41">
            <v>650</v>
          </cell>
          <cell r="F41">
            <v>232</v>
          </cell>
          <cell r="G41">
            <v>830</v>
          </cell>
          <cell r="H41">
            <v>456</v>
          </cell>
          <cell r="I41">
            <v>508</v>
          </cell>
          <cell r="J41">
            <v>80</v>
          </cell>
          <cell r="K41">
            <v>530</v>
          </cell>
          <cell r="L41">
            <v>3059</v>
          </cell>
          <cell r="M41">
            <v>816</v>
          </cell>
          <cell r="N41">
            <v>170</v>
          </cell>
          <cell r="O41">
            <v>123</v>
          </cell>
          <cell r="P41">
            <v>531</v>
          </cell>
          <cell r="Q41">
            <v>202</v>
          </cell>
          <cell r="R41">
            <v>24</v>
          </cell>
          <cell r="S41">
            <v>352</v>
          </cell>
          <cell r="T41">
            <v>484</v>
          </cell>
        </row>
        <row r="42">
          <cell r="B42" t="str">
            <v>Di Akhir Triwulan</v>
          </cell>
          <cell r="C42" t="str">
            <v>TBM</v>
          </cell>
          <cell r="D42">
            <v>180</v>
          </cell>
          <cell r="E42">
            <v>335</v>
          </cell>
          <cell r="F42">
            <v>17</v>
          </cell>
          <cell r="G42">
            <v>409</v>
          </cell>
          <cell r="H42">
            <v>28</v>
          </cell>
          <cell r="K42">
            <v>3</v>
          </cell>
          <cell r="L42">
            <v>1550</v>
          </cell>
          <cell r="M42">
            <v>382</v>
          </cell>
          <cell r="N42">
            <v>10</v>
          </cell>
          <cell r="O42">
            <v>25</v>
          </cell>
          <cell r="P42">
            <v>146</v>
          </cell>
          <cell r="Q42">
            <v>47</v>
          </cell>
          <cell r="R42">
            <v>4</v>
          </cell>
          <cell r="S42">
            <v>232</v>
          </cell>
          <cell r="T42">
            <v>12</v>
          </cell>
        </row>
        <row r="43">
          <cell r="C43" t="str">
            <v>TPSM</v>
          </cell>
          <cell r="D43">
            <v>430</v>
          </cell>
          <cell r="E43">
            <v>100</v>
          </cell>
          <cell r="F43">
            <v>212</v>
          </cell>
          <cell r="G43">
            <v>180</v>
          </cell>
          <cell r="H43">
            <v>367</v>
          </cell>
          <cell r="J43">
            <v>80</v>
          </cell>
          <cell r="K43">
            <v>527</v>
          </cell>
          <cell r="L43">
            <v>1471</v>
          </cell>
          <cell r="M43">
            <v>434</v>
          </cell>
          <cell r="N43">
            <v>160</v>
          </cell>
          <cell r="O43">
            <v>92</v>
          </cell>
          <cell r="P43">
            <v>385</v>
          </cell>
          <cell r="Q43">
            <v>155</v>
          </cell>
          <cell r="R43">
            <v>18</v>
          </cell>
          <cell r="S43">
            <v>120</v>
          </cell>
          <cell r="T43">
            <v>164</v>
          </cell>
        </row>
        <row r="44">
          <cell r="C44" t="str">
            <v>TPBM</v>
          </cell>
          <cell r="D44">
            <v>0</v>
          </cell>
          <cell r="E44">
            <v>215</v>
          </cell>
          <cell r="F44">
            <v>2</v>
          </cell>
          <cell r="G44">
            <v>224</v>
          </cell>
          <cell r="H44">
            <v>61</v>
          </cell>
          <cell r="I44">
            <v>500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308</v>
          </cell>
        </row>
        <row r="45">
          <cell r="C45" t="str">
            <v>TR</v>
          </cell>
          <cell r="D45">
            <v>20</v>
          </cell>
          <cell r="F45">
            <v>1</v>
          </cell>
          <cell r="G45">
            <v>17</v>
          </cell>
          <cell r="I45">
            <v>8</v>
          </cell>
          <cell r="L45">
            <v>38</v>
          </cell>
          <cell r="O45">
            <v>6</v>
          </cell>
          <cell r="R45">
            <v>2</v>
          </cell>
        </row>
        <row r="46">
          <cell r="B46" t="str">
            <v>Produksi</v>
          </cell>
          <cell r="C46" t="str">
            <v>(kuintal)</v>
          </cell>
          <cell r="D46">
            <v>50.2</v>
          </cell>
          <cell r="E46">
            <v>30</v>
          </cell>
          <cell r="F46">
            <v>77.709999999999994</v>
          </cell>
          <cell r="G46">
            <v>25.02</v>
          </cell>
          <cell r="H46">
            <v>766</v>
          </cell>
          <cell r="I46">
            <v>0</v>
          </cell>
          <cell r="J46">
            <v>36</v>
          </cell>
          <cell r="K46">
            <v>310</v>
          </cell>
          <cell r="L46">
            <v>209</v>
          </cell>
          <cell r="M46">
            <v>212.12</v>
          </cell>
          <cell r="N46">
            <v>8</v>
          </cell>
          <cell r="O46">
            <v>46</v>
          </cell>
          <cell r="P46">
            <v>34.43</v>
          </cell>
          <cell r="Q46">
            <v>4.6500000000000004</v>
          </cell>
          <cell r="R46">
            <v>3.6</v>
          </cell>
          <cell r="S46">
            <v>24</v>
          </cell>
          <cell r="T46">
            <v>17</v>
          </cell>
        </row>
        <row r="47">
          <cell r="B47" t="str">
            <v>Provitas</v>
          </cell>
          <cell r="C47" t="str">
            <v>(ku/pohon)</v>
          </cell>
          <cell r="D47">
            <v>0.11674418604651163</v>
          </cell>
          <cell r="E47">
            <v>0.3</v>
          </cell>
          <cell r="F47">
            <v>0.3665566037735849</v>
          </cell>
          <cell r="G47">
            <v>0.13899999999999998</v>
          </cell>
          <cell r="H47">
            <v>2.0871934604904632</v>
          </cell>
          <cell r="I47" t="e">
            <v>#DIV/0!</v>
          </cell>
          <cell r="J47">
            <v>0.45</v>
          </cell>
          <cell r="K47">
            <v>0.58823529411764708</v>
          </cell>
          <cell r="L47">
            <v>0.14208021753908906</v>
          </cell>
          <cell r="M47">
            <v>0.48875576036866358</v>
          </cell>
          <cell r="N47">
            <v>0.05</v>
          </cell>
          <cell r="O47">
            <v>0.5</v>
          </cell>
          <cell r="P47">
            <v>8.9428571428571427E-2</v>
          </cell>
          <cell r="Q47">
            <v>3.0000000000000002E-2</v>
          </cell>
          <cell r="R47">
            <v>0.2</v>
          </cell>
          <cell r="S47">
            <v>0.2</v>
          </cell>
          <cell r="T47">
            <v>0.10365853658536585</v>
          </cell>
        </row>
        <row r="48">
          <cell r="B48" t="str">
            <v>Harga/kg</v>
          </cell>
          <cell r="C48" t="str">
            <v>Rupiah</v>
          </cell>
          <cell r="D48">
            <v>36000</v>
          </cell>
          <cell r="E48">
            <v>5000</v>
          </cell>
          <cell r="F48">
            <v>15000</v>
          </cell>
          <cell r="G48">
            <v>5000</v>
          </cell>
          <cell r="H48">
            <v>7500</v>
          </cell>
          <cell r="I48">
            <v>0</v>
          </cell>
          <cell r="J48">
            <v>7000</v>
          </cell>
          <cell r="K48">
            <v>10000</v>
          </cell>
          <cell r="L48">
            <v>8000</v>
          </cell>
          <cell r="M48">
            <v>5000</v>
          </cell>
          <cell r="N48">
            <v>6000</v>
          </cell>
          <cell r="O48">
            <v>3500</v>
          </cell>
          <cell r="P48">
            <v>7000</v>
          </cell>
          <cell r="Q48">
            <v>5000</v>
          </cell>
          <cell r="R48">
            <v>4000</v>
          </cell>
          <cell r="S48">
            <v>4500</v>
          </cell>
          <cell r="T48">
            <v>5000</v>
          </cell>
        </row>
        <row r="49">
          <cell r="A49" t="str">
            <v>Buah Naga *)</v>
          </cell>
          <cell r="B49" t="str">
            <v>Tan Akhir Trw lalu</v>
          </cell>
          <cell r="C49" t="str">
            <v>Pohon/rumpun</v>
          </cell>
          <cell r="D49">
            <v>0</v>
          </cell>
          <cell r="E49">
            <v>100</v>
          </cell>
          <cell r="F49">
            <v>0</v>
          </cell>
          <cell r="G49">
            <v>0</v>
          </cell>
          <cell r="H49">
            <v>15</v>
          </cell>
          <cell r="I49">
            <v>30</v>
          </cell>
          <cell r="J49">
            <v>0</v>
          </cell>
          <cell r="K49">
            <v>0</v>
          </cell>
          <cell r="L49">
            <v>350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Selama Triwulan</v>
          </cell>
          <cell r="C50" t="str">
            <v>Bongkar</v>
          </cell>
        </row>
        <row r="51">
          <cell r="C51" t="str">
            <v>Baru</v>
          </cell>
        </row>
        <row r="52">
          <cell r="B52" t="str">
            <v xml:space="preserve">∑ Tanaman Akhir </v>
          </cell>
          <cell r="C52" t="str">
            <v>Pohon/rumpun</v>
          </cell>
          <cell r="D52">
            <v>0</v>
          </cell>
          <cell r="E52">
            <v>100</v>
          </cell>
          <cell r="F52">
            <v>0</v>
          </cell>
          <cell r="G52">
            <v>0</v>
          </cell>
          <cell r="H52">
            <v>15</v>
          </cell>
          <cell r="I52">
            <v>30</v>
          </cell>
          <cell r="J52">
            <v>0</v>
          </cell>
          <cell r="K52">
            <v>0</v>
          </cell>
          <cell r="L52">
            <v>350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B53" t="str">
            <v>Di Akhir Triwulan</v>
          </cell>
          <cell r="C53" t="str">
            <v>TBM</v>
          </cell>
          <cell r="E53">
            <v>66</v>
          </cell>
          <cell r="H53">
            <v>15</v>
          </cell>
          <cell r="I53">
            <v>17</v>
          </cell>
          <cell r="L53">
            <v>350</v>
          </cell>
        </row>
        <row r="54">
          <cell r="C54" t="str">
            <v>TPSM</v>
          </cell>
          <cell r="I54">
            <v>10</v>
          </cell>
        </row>
        <row r="55">
          <cell r="C55" t="str">
            <v>TPBM</v>
          </cell>
          <cell r="D55">
            <v>0</v>
          </cell>
          <cell r="E55">
            <v>34</v>
          </cell>
          <cell r="F55">
            <v>0</v>
          </cell>
          <cell r="G55">
            <v>0</v>
          </cell>
          <cell r="H55">
            <v>0</v>
          </cell>
          <cell r="I55">
            <v>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C56" t="str">
            <v>TR</v>
          </cell>
        </row>
        <row r="57">
          <cell r="B57" t="str">
            <v>Produksi</v>
          </cell>
          <cell r="C57" t="str">
            <v>(kuintal)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B58" t="str">
            <v>Provitas</v>
          </cell>
          <cell r="C58" t="str">
            <v>(ku/pohon)</v>
          </cell>
          <cell r="D58" t="e">
            <v>#DIV/0!</v>
          </cell>
          <cell r="E58" t="e">
            <v>#DIV/0!</v>
          </cell>
          <cell r="F58" t="e">
            <v>#DIV/0!</v>
          </cell>
          <cell r="G58" t="e">
            <v>#DIV/0!</v>
          </cell>
          <cell r="H58" t="e">
            <v>#DIV/0!</v>
          </cell>
          <cell r="I58">
            <v>0.1</v>
          </cell>
          <cell r="J58" t="e">
            <v>#DIV/0!</v>
          </cell>
          <cell r="K58" t="e">
            <v>#DIV/0!</v>
          </cell>
          <cell r="L58" t="e">
            <v>#DIV/0!</v>
          </cell>
          <cell r="M58" t="e">
            <v>#DIV/0!</v>
          </cell>
          <cell r="N58" t="e">
            <v>#DIV/0!</v>
          </cell>
          <cell r="O58" t="e">
            <v>#DIV/0!</v>
          </cell>
          <cell r="P58" t="e">
            <v>#DIV/0!</v>
          </cell>
          <cell r="Q58" t="e">
            <v>#DIV/0!</v>
          </cell>
          <cell r="R58" t="e">
            <v>#DIV/0!</v>
          </cell>
          <cell r="S58" t="e">
            <v>#DIV/0!</v>
          </cell>
          <cell r="T58" t="e">
            <v>#DIV/0!</v>
          </cell>
        </row>
        <row r="59">
          <cell r="B59" t="str">
            <v>Harga/kg</v>
          </cell>
          <cell r="C59" t="str">
            <v>Rupiah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12000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 t="str">
            <v>Duku/Langsat/Kokosan</v>
          </cell>
          <cell r="B60" t="str">
            <v>Tan Akhir Trw lalu</v>
          </cell>
          <cell r="C60" t="str">
            <v>Pohon/rumpun</v>
          </cell>
          <cell r="D60">
            <v>254</v>
          </cell>
          <cell r="E60">
            <v>180</v>
          </cell>
          <cell r="F60">
            <v>37</v>
          </cell>
          <cell r="G60">
            <v>1221</v>
          </cell>
          <cell r="H60">
            <v>310</v>
          </cell>
          <cell r="I60">
            <v>892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B61" t="str">
            <v>Selama Triwulan</v>
          </cell>
          <cell r="C61" t="str">
            <v>Bongkar</v>
          </cell>
          <cell r="G61">
            <v>15</v>
          </cell>
          <cell r="H61">
            <v>32</v>
          </cell>
          <cell r="I61">
            <v>62</v>
          </cell>
        </row>
        <row r="62">
          <cell r="C62" t="str">
            <v>Baru</v>
          </cell>
        </row>
        <row r="63">
          <cell r="B63" t="str">
            <v xml:space="preserve">∑ Tanaman Akhir </v>
          </cell>
          <cell r="C63" t="str">
            <v>Pohon/rumpun</v>
          </cell>
          <cell r="D63">
            <v>254</v>
          </cell>
          <cell r="E63">
            <v>180</v>
          </cell>
          <cell r="F63">
            <v>37</v>
          </cell>
          <cell r="G63">
            <v>1206</v>
          </cell>
          <cell r="H63">
            <v>278</v>
          </cell>
          <cell r="I63">
            <v>830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Di Akhir Triwulan</v>
          </cell>
          <cell r="C64" t="str">
            <v>TBM</v>
          </cell>
          <cell r="D64">
            <v>94</v>
          </cell>
          <cell r="E64">
            <v>115</v>
          </cell>
          <cell r="G64">
            <v>658</v>
          </cell>
          <cell r="H64">
            <v>278</v>
          </cell>
          <cell r="I64">
            <v>6</v>
          </cell>
        </row>
        <row r="65">
          <cell r="C65" t="str">
            <v>TPSM</v>
          </cell>
          <cell r="D65">
            <v>140</v>
          </cell>
          <cell r="E65">
            <v>54</v>
          </cell>
          <cell r="F65">
            <v>31</v>
          </cell>
          <cell r="G65">
            <v>250</v>
          </cell>
          <cell r="I65">
            <v>40</v>
          </cell>
        </row>
        <row r="66">
          <cell r="C66" t="str">
            <v>TPBM</v>
          </cell>
          <cell r="D66">
            <v>0</v>
          </cell>
          <cell r="E66">
            <v>11</v>
          </cell>
          <cell r="F66">
            <v>3</v>
          </cell>
          <cell r="G66">
            <v>284</v>
          </cell>
          <cell r="H66">
            <v>0</v>
          </cell>
          <cell r="I66">
            <v>718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C67" t="str">
            <v>TR</v>
          </cell>
          <cell r="D67">
            <v>20</v>
          </cell>
          <cell r="F67">
            <v>3</v>
          </cell>
          <cell r="G67">
            <v>14</v>
          </cell>
          <cell r="I67">
            <v>66</v>
          </cell>
        </row>
        <row r="68">
          <cell r="B68" t="str">
            <v>Produksi</v>
          </cell>
          <cell r="C68" t="str">
            <v>(kuintal)</v>
          </cell>
          <cell r="D68">
            <v>28</v>
          </cell>
          <cell r="E68">
            <v>43</v>
          </cell>
          <cell r="F68">
            <v>12.09</v>
          </cell>
          <cell r="G68">
            <v>84.72</v>
          </cell>
          <cell r="H68">
            <v>0</v>
          </cell>
          <cell r="I68">
            <v>13.5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B69" t="str">
            <v>Provitas</v>
          </cell>
          <cell r="C69" t="str">
            <v>(ku/pohon)</v>
          </cell>
          <cell r="D69">
            <v>0.2</v>
          </cell>
          <cell r="E69">
            <v>0.79629629629629628</v>
          </cell>
          <cell r="F69">
            <v>0.39</v>
          </cell>
          <cell r="G69">
            <v>0.33888000000000001</v>
          </cell>
          <cell r="H69" t="e">
            <v>#DIV/0!</v>
          </cell>
          <cell r="I69">
            <v>0.33750000000000002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  <cell r="N69" t="e">
            <v>#DIV/0!</v>
          </cell>
          <cell r="O69" t="e">
            <v>#DIV/0!</v>
          </cell>
          <cell r="P69" t="e">
            <v>#DIV/0!</v>
          </cell>
          <cell r="Q69" t="e">
            <v>#DIV/0!</v>
          </cell>
          <cell r="R69" t="e">
            <v>#DIV/0!</v>
          </cell>
          <cell r="S69" t="e">
            <v>#DIV/0!</v>
          </cell>
          <cell r="T69" t="e">
            <v>#DIV/0!</v>
          </cell>
        </row>
        <row r="70">
          <cell r="B70" t="str">
            <v>Harga/kg</v>
          </cell>
          <cell r="C70" t="str">
            <v>Rupiah</v>
          </cell>
          <cell r="D70">
            <v>8000</v>
          </cell>
          <cell r="E70">
            <v>14000</v>
          </cell>
          <cell r="F70">
            <v>30000</v>
          </cell>
          <cell r="G70">
            <v>10000</v>
          </cell>
          <cell r="H70">
            <v>0</v>
          </cell>
          <cell r="I70">
            <v>10000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 t="str">
            <v>Durian</v>
          </cell>
          <cell r="B71" t="str">
            <v>Tan Akhir Trw lalu</v>
          </cell>
          <cell r="C71" t="str">
            <v>Pohon/rumpun</v>
          </cell>
          <cell r="D71">
            <v>18505</v>
          </cell>
          <cell r="E71">
            <v>1846</v>
          </cell>
          <cell r="F71">
            <v>2591</v>
          </cell>
          <cell r="G71">
            <v>12438</v>
          </cell>
          <cell r="H71">
            <v>5302</v>
          </cell>
          <cell r="I71">
            <v>21748</v>
          </cell>
          <cell r="J71">
            <v>0</v>
          </cell>
          <cell r="K71">
            <v>523</v>
          </cell>
          <cell r="L71">
            <v>6176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70</v>
          </cell>
          <cell r="S71">
            <v>0</v>
          </cell>
          <cell r="T71">
            <v>0</v>
          </cell>
        </row>
        <row r="72">
          <cell r="B72" t="str">
            <v>Selama Triwulan</v>
          </cell>
          <cell r="C72" t="str">
            <v>Bongkar</v>
          </cell>
          <cell r="E72">
            <v>8</v>
          </cell>
          <cell r="F72">
            <v>87</v>
          </cell>
          <cell r="G72">
            <v>20</v>
          </cell>
          <cell r="I72">
            <v>84</v>
          </cell>
          <cell r="L72">
            <v>43</v>
          </cell>
        </row>
        <row r="73">
          <cell r="C73" t="str">
            <v>Baru</v>
          </cell>
          <cell r="F73">
            <v>20</v>
          </cell>
        </row>
        <row r="74">
          <cell r="B74" t="str">
            <v xml:space="preserve">∑ Tanaman Akhir </v>
          </cell>
          <cell r="C74" t="str">
            <v>Pohon/rumpun</v>
          </cell>
          <cell r="D74">
            <v>18505</v>
          </cell>
          <cell r="E74">
            <v>1838</v>
          </cell>
          <cell r="F74">
            <v>2524</v>
          </cell>
          <cell r="G74">
            <v>12418</v>
          </cell>
          <cell r="H74">
            <v>5302</v>
          </cell>
          <cell r="I74">
            <v>21664</v>
          </cell>
          <cell r="J74">
            <v>0</v>
          </cell>
          <cell r="K74">
            <v>523</v>
          </cell>
          <cell r="L74">
            <v>6133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70</v>
          </cell>
          <cell r="S74">
            <v>0</v>
          </cell>
          <cell r="T74">
            <v>0</v>
          </cell>
        </row>
        <row r="75">
          <cell r="B75" t="str">
            <v>Di Akhir Triwulan</v>
          </cell>
          <cell r="C75" t="str">
            <v>TBM</v>
          </cell>
          <cell r="D75">
            <v>7500</v>
          </cell>
          <cell r="E75">
            <v>1135</v>
          </cell>
          <cell r="F75">
            <v>821</v>
          </cell>
          <cell r="G75">
            <v>1965</v>
          </cell>
          <cell r="H75">
            <v>1058</v>
          </cell>
          <cell r="I75">
            <v>2144</v>
          </cell>
          <cell r="K75">
            <v>300</v>
          </cell>
          <cell r="L75">
            <v>5814</v>
          </cell>
          <cell r="R75">
            <v>70</v>
          </cell>
        </row>
        <row r="76">
          <cell r="C76" t="str">
            <v>TPSM</v>
          </cell>
          <cell r="D76">
            <v>9530</v>
          </cell>
          <cell r="F76">
            <v>1187</v>
          </cell>
          <cell r="H76">
            <v>156</v>
          </cell>
          <cell r="K76">
            <v>223</v>
          </cell>
          <cell r="L76">
            <v>263</v>
          </cell>
        </row>
        <row r="77">
          <cell r="C77" t="str">
            <v>TPBM</v>
          </cell>
          <cell r="D77">
            <v>1460</v>
          </cell>
          <cell r="E77">
            <v>703</v>
          </cell>
          <cell r="F77">
            <v>390</v>
          </cell>
          <cell r="G77">
            <v>10429</v>
          </cell>
          <cell r="H77">
            <v>4088</v>
          </cell>
          <cell r="I77">
            <v>19432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C78" t="str">
            <v>TR</v>
          </cell>
          <cell r="D78">
            <v>15</v>
          </cell>
          <cell r="F78">
            <v>126</v>
          </cell>
          <cell r="G78">
            <v>24</v>
          </cell>
          <cell r="I78">
            <v>88</v>
          </cell>
          <cell r="L78">
            <v>56</v>
          </cell>
        </row>
        <row r="79">
          <cell r="B79" t="str">
            <v>Produksi</v>
          </cell>
          <cell r="C79" t="str">
            <v>(kuintal)</v>
          </cell>
          <cell r="D79">
            <v>480</v>
          </cell>
          <cell r="E79">
            <v>0</v>
          </cell>
          <cell r="F79">
            <v>654.47</v>
          </cell>
          <cell r="G79">
            <v>0</v>
          </cell>
          <cell r="H79">
            <v>94</v>
          </cell>
          <cell r="I79">
            <v>0</v>
          </cell>
          <cell r="J79">
            <v>0</v>
          </cell>
          <cell r="K79">
            <v>1020</v>
          </cell>
          <cell r="L79">
            <v>129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B80" t="str">
            <v>Provitas</v>
          </cell>
          <cell r="C80" t="str">
            <v>(ku/pohon)</v>
          </cell>
          <cell r="D80">
            <v>5.0367261280167892E-2</v>
          </cell>
          <cell r="E80" t="e">
            <v>#DIV/0!</v>
          </cell>
          <cell r="F80">
            <v>0.55136478517270437</v>
          </cell>
          <cell r="G80" t="e">
            <v>#DIV/0!</v>
          </cell>
          <cell r="H80">
            <v>0.60256410256410253</v>
          </cell>
          <cell r="I80" t="e">
            <v>#DIV/0!</v>
          </cell>
          <cell r="J80" t="e">
            <v>#DIV/0!</v>
          </cell>
          <cell r="K80">
            <v>4.5739910313901344</v>
          </cell>
          <cell r="L80">
            <v>0.49049429657794674</v>
          </cell>
          <cell r="M80" t="e">
            <v>#DIV/0!</v>
          </cell>
          <cell r="N80" t="e">
            <v>#DIV/0!</v>
          </cell>
          <cell r="O80" t="e">
            <v>#DIV/0!</v>
          </cell>
          <cell r="P80" t="e">
            <v>#DIV/0!</v>
          </cell>
          <cell r="Q80" t="e">
            <v>#DIV/0!</v>
          </cell>
          <cell r="R80" t="e">
            <v>#DIV/0!</v>
          </cell>
          <cell r="S80" t="e">
            <v>#DIV/0!</v>
          </cell>
          <cell r="T80" t="e">
            <v>#DIV/0!</v>
          </cell>
        </row>
        <row r="81">
          <cell r="B81" t="str">
            <v>Harga/kg</v>
          </cell>
          <cell r="C81" t="str">
            <v>Rupiah</v>
          </cell>
          <cell r="D81">
            <v>60000</v>
          </cell>
          <cell r="E81">
            <v>0</v>
          </cell>
          <cell r="F81">
            <v>50000</v>
          </cell>
          <cell r="G81">
            <v>0</v>
          </cell>
          <cell r="H81">
            <v>50000</v>
          </cell>
          <cell r="I81">
            <v>0</v>
          </cell>
          <cell r="J81">
            <v>0</v>
          </cell>
          <cell r="K81">
            <v>50000</v>
          </cell>
          <cell r="L81">
            <v>25000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Jambu Air</v>
          </cell>
          <cell r="B82" t="str">
            <v>Tan Akhir Trw lalu</v>
          </cell>
          <cell r="C82" t="str">
            <v>Pohon/rumpun</v>
          </cell>
          <cell r="D82">
            <v>730</v>
          </cell>
          <cell r="E82">
            <v>500</v>
          </cell>
          <cell r="F82">
            <v>277</v>
          </cell>
          <cell r="G82">
            <v>1773</v>
          </cell>
          <cell r="H82">
            <v>569</v>
          </cell>
          <cell r="I82">
            <v>2760</v>
          </cell>
          <cell r="J82">
            <v>200</v>
          </cell>
          <cell r="K82">
            <v>9675</v>
          </cell>
          <cell r="L82">
            <v>7563</v>
          </cell>
          <cell r="M82">
            <v>1076</v>
          </cell>
          <cell r="N82">
            <v>1315</v>
          </cell>
          <cell r="O82">
            <v>277</v>
          </cell>
          <cell r="P82">
            <v>409</v>
          </cell>
          <cell r="Q82">
            <v>291</v>
          </cell>
          <cell r="R82">
            <v>25</v>
          </cell>
          <cell r="S82">
            <v>180</v>
          </cell>
          <cell r="T82">
            <v>499</v>
          </cell>
        </row>
        <row r="83">
          <cell r="B83" t="str">
            <v>Selama Triwulan</v>
          </cell>
          <cell r="C83" t="str">
            <v>Bongkar</v>
          </cell>
          <cell r="F83">
            <v>4</v>
          </cell>
          <cell r="G83">
            <v>30</v>
          </cell>
          <cell r="I83">
            <v>3</v>
          </cell>
          <cell r="J83">
            <v>6</v>
          </cell>
          <cell r="K83">
            <v>20</v>
          </cell>
          <cell r="L83">
            <v>79</v>
          </cell>
          <cell r="M83">
            <v>23</v>
          </cell>
          <cell r="O83">
            <v>55</v>
          </cell>
          <cell r="P83">
            <v>23</v>
          </cell>
          <cell r="T83">
            <v>1</v>
          </cell>
        </row>
        <row r="84">
          <cell r="C84" t="str">
            <v>Baru</v>
          </cell>
          <cell r="G84">
            <v>3</v>
          </cell>
          <cell r="P84">
            <v>5</v>
          </cell>
        </row>
        <row r="85">
          <cell r="B85" t="str">
            <v xml:space="preserve">∑ Tanaman Akhir </v>
          </cell>
          <cell r="C85" t="str">
            <v>Pohon/rumpun</v>
          </cell>
          <cell r="D85">
            <v>730</v>
          </cell>
          <cell r="E85">
            <v>500</v>
          </cell>
          <cell r="F85">
            <v>273</v>
          </cell>
          <cell r="G85">
            <v>1746</v>
          </cell>
          <cell r="H85">
            <v>569</v>
          </cell>
          <cell r="I85">
            <v>2757</v>
          </cell>
          <cell r="J85">
            <v>194</v>
          </cell>
          <cell r="K85">
            <v>9655</v>
          </cell>
          <cell r="L85">
            <v>7484</v>
          </cell>
          <cell r="M85">
            <v>1053</v>
          </cell>
          <cell r="N85">
            <v>1315</v>
          </cell>
          <cell r="O85">
            <v>222</v>
          </cell>
          <cell r="P85">
            <v>391</v>
          </cell>
          <cell r="Q85">
            <v>291</v>
          </cell>
          <cell r="R85">
            <v>25</v>
          </cell>
          <cell r="S85">
            <v>180</v>
          </cell>
          <cell r="T85">
            <v>498</v>
          </cell>
        </row>
        <row r="86">
          <cell r="B86" t="str">
            <v>Di Akhir Triwulan</v>
          </cell>
          <cell r="C86" t="str">
            <v>TBM</v>
          </cell>
          <cell r="D86">
            <v>115</v>
          </cell>
          <cell r="E86">
            <v>325</v>
          </cell>
          <cell r="F86">
            <v>76</v>
          </cell>
          <cell r="G86">
            <v>965</v>
          </cell>
          <cell r="H86">
            <v>105</v>
          </cell>
          <cell r="I86">
            <v>15</v>
          </cell>
          <cell r="K86">
            <v>400</v>
          </cell>
          <cell r="L86">
            <v>5800</v>
          </cell>
          <cell r="M86">
            <v>586</v>
          </cell>
          <cell r="N86">
            <v>63</v>
          </cell>
          <cell r="O86">
            <v>44</v>
          </cell>
          <cell r="P86">
            <v>52</v>
          </cell>
          <cell r="Q86">
            <v>67</v>
          </cell>
          <cell r="R86">
            <v>12</v>
          </cell>
          <cell r="S86">
            <v>80</v>
          </cell>
          <cell r="T86">
            <v>30</v>
          </cell>
        </row>
        <row r="87">
          <cell r="C87" t="str">
            <v>TPSM</v>
          </cell>
          <cell r="D87">
            <v>610</v>
          </cell>
          <cell r="F87">
            <v>193</v>
          </cell>
          <cell r="H87">
            <v>82</v>
          </cell>
          <cell r="J87">
            <v>194</v>
          </cell>
          <cell r="K87">
            <v>9255</v>
          </cell>
          <cell r="L87">
            <v>1580</v>
          </cell>
          <cell r="M87">
            <v>467</v>
          </cell>
          <cell r="N87">
            <v>1252</v>
          </cell>
          <cell r="O87">
            <v>166</v>
          </cell>
          <cell r="P87">
            <v>339</v>
          </cell>
          <cell r="Q87">
            <v>224</v>
          </cell>
          <cell r="R87">
            <v>13</v>
          </cell>
          <cell r="S87">
            <v>100</v>
          </cell>
          <cell r="T87">
            <v>162</v>
          </cell>
        </row>
        <row r="88">
          <cell r="C88" t="str">
            <v>TPBM</v>
          </cell>
          <cell r="D88">
            <v>0</v>
          </cell>
          <cell r="E88">
            <v>175</v>
          </cell>
          <cell r="F88">
            <v>4</v>
          </cell>
          <cell r="G88">
            <v>772</v>
          </cell>
          <cell r="H88">
            <v>382</v>
          </cell>
          <cell r="I88">
            <v>2739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306</v>
          </cell>
        </row>
        <row r="89">
          <cell r="C89" t="str">
            <v>TR</v>
          </cell>
          <cell r="D89">
            <v>5</v>
          </cell>
          <cell r="G89">
            <v>9</v>
          </cell>
          <cell r="I89">
            <v>3</v>
          </cell>
          <cell r="L89">
            <v>104</v>
          </cell>
          <cell r="O89">
            <v>11</v>
          </cell>
        </row>
        <row r="90">
          <cell r="B90" t="str">
            <v>Produksi</v>
          </cell>
          <cell r="C90" t="str">
            <v>(kuintal)</v>
          </cell>
          <cell r="D90">
            <v>124</v>
          </cell>
          <cell r="E90">
            <v>0</v>
          </cell>
          <cell r="F90">
            <v>34.74</v>
          </cell>
          <cell r="G90">
            <v>0</v>
          </cell>
          <cell r="H90">
            <v>121</v>
          </cell>
          <cell r="I90">
            <v>0</v>
          </cell>
          <cell r="J90">
            <v>90</v>
          </cell>
          <cell r="K90">
            <v>650</v>
          </cell>
          <cell r="L90">
            <v>186</v>
          </cell>
          <cell r="M90">
            <v>417.18</v>
          </cell>
          <cell r="N90">
            <v>125.2</v>
          </cell>
          <cell r="O90">
            <v>50</v>
          </cell>
          <cell r="P90">
            <v>120.6</v>
          </cell>
          <cell r="Q90">
            <v>6.72</v>
          </cell>
          <cell r="R90">
            <v>0.76</v>
          </cell>
          <cell r="S90">
            <v>40</v>
          </cell>
          <cell r="T90">
            <v>5</v>
          </cell>
        </row>
        <row r="91">
          <cell r="B91" t="str">
            <v>Provitas</v>
          </cell>
          <cell r="C91" t="str">
            <v>(ku/pohon)</v>
          </cell>
          <cell r="D91">
            <v>0.20327868852459016</v>
          </cell>
          <cell r="E91" t="e">
            <v>#DIV/0!</v>
          </cell>
          <cell r="F91">
            <v>0.18000000000000002</v>
          </cell>
          <cell r="G91" t="e">
            <v>#DIV/0!</v>
          </cell>
          <cell r="H91">
            <v>1.475609756097561</v>
          </cell>
          <cell r="I91" t="e">
            <v>#DIV/0!</v>
          </cell>
          <cell r="J91">
            <v>0.46391752577319589</v>
          </cell>
          <cell r="K91">
            <v>7.0232306861156127E-2</v>
          </cell>
          <cell r="L91">
            <v>0.11772151898734177</v>
          </cell>
          <cell r="M91">
            <v>0.89331905781584586</v>
          </cell>
          <cell r="N91">
            <v>0.1</v>
          </cell>
          <cell r="O91">
            <v>0.30120481927710846</v>
          </cell>
          <cell r="P91">
            <v>0.35575221238938054</v>
          </cell>
          <cell r="Q91">
            <v>0.03</v>
          </cell>
          <cell r="R91">
            <v>5.8461538461538461E-2</v>
          </cell>
          <cell r="S91">
            <v>0.4</v>
          </cell>
          <cell r="T91">
            <v>3.0864197530864196E-2</v>
          </cell>
        </row>
        <row r="92">
          <cell r="B92" t="str">
            <v>Harga/kg</v>
          </cell>
          <cell r="C92" t="str">
            <v>Rupiah</v>
          </cell>
          <cell r="D92">
            <v>11000</v>
          </cell>
          <cell r="E92">
            <v>0</v>
          </cell>
          <cell r="F92">
            <v>20000</v>
          </cell>
          <cell r="G92">
            <v>0</v>
          </cell>
          <cell r="H92">
            <v>6000</v>
          </cell>
          <cell r="I92">
            <v>0</v>
          </cell>
          <cell r="J92">
            <v>16000</v>
          </cell>
          <cell r="K92">
            <v>15000</v>
          </cell>
          <cell r="L92">
            <v>6000</v>
          </cell>
          <cell r="M92">
            <v>15000</v>
          </cell>
          <cell r="N92">
            <v>4000</v>
          </cell>
          <cell r="O92">
            <v>3500</v>
          </cell>
          <cell r="P92">
            <v>5000</v>
          </cell>
          <cell r="Q92">
            <v>5000</v>
          </cell>
          <cell r="R92">
            <v>7000</v>
          </cell>
          <cell r="S92">
            <v>5000</v>
          </cell>
          <cell r="T92">
            <v>4000</v>
          </cell>
        </row>
        <row r="93">
          <cell r="A93" t="str">
            <v>Jambu Biji</v>
          </cell>
          <cell r="B93" t="str">
            <v>Tan Akhir Trw lalu</v>
          </cell>
          <cell r="C93" t="str">
            <v>Pohon/rumpun</v>
          </cell>
          <cell r="D93">
            <v>480</v>
          </cell>
          <cell r="E93">
            <v>1325</v>
          </cell>
          <cell r="F93">
            <v>414</v>
          </cell>
          <cell r="G93">
            <v>2832</v>
          </cell>
          <cell r="H93">
            <v>598</v>
          </cell>
          <cell r="I93">
            <v>4090</v>
          </cell>
          <cell r="J93">
            <v>821</v>
          </cell>
          <cell r="K93">
            <v>12450</v>
          </cell>
          <cell r="L93">
            <v>9551</v>
          </cell>
          <cell r="M93">
            <v>973</v>
          </cell>
          <cell r="N93">
            <v>365</v>
          </cell>
          <cell r="O93">
            <v>361</v>
          </cell>
          <cell r="P93">
            <v>569</v>
          </cell>
          <cell r="Q93">
            <v>77</v>
          </cell>
          <cell r="R93">
            <v>81</v>
          </cell>
          <cell r="S93">
            <v>474</v>
          </cell>
          <cell r="T93">
            <v>82</v>
          </cell>
        </row>
        <row r="94">
          <cell r="B94" t="str">
            <v>Selama Triwulan</v>
          </cell>
          <cell r="C94" t="str">
            <v>Bongkar</v>
          </cell>
          <cell r="G94">
            <v>35</v>
          </cell>
          <cell r="I94">
            <v>10</v>
          </cell>
          <cell r="J94">
            <v>21</v>
          </cell>
          <cell r="K94">
            <v>100</v>
          </cell>
          <cell r="L94">
            <v>54</v>
          </cell>
          <cell r="M94">
            <v>42</v>
          </cell>
          <cell r="O94">
            <v>22</v>
          </cell>
          <cell r="P94">
            <v>8</v>
          </cell>
          <cell r="R94">
            <v>3</v>
          </cell>
          <cell r="S94">
            <v>10</v>
          </cell>
        </row>
        <row r="95">
          <cell r="C95" t="str">
            <v>Baru</v>
          </cell>
          <cell r="G95">
            <v>5</v>
          </cell>
          <cell r="P95">
            <v>3</v>
          </cell>
        </row>
        <row r="96">
          <cell r="B96" t="str">
            <v xml:space="preserve">∑ Tanaman Akhir </v>
          </cell>
          <cell r="C96" t="str">
            <v>Pohon/rumpun</v>
          </cell>
          <cell r="D96">
            <v>480</v>
          </cell>
          <cell r="E96">
            <v>1325</v>
          </cell>
          <cell r="F96">
            <v>414</v>
          </cell>
          <cell r="G96">
            <v>2802</v>
          </cell>
          <cell r="H96">
            <v>598</v>
          </cell>
          <cell r="I96">
            <v>4080</v>
          </cell>
          <cell r="J96">
            <v>800</v>
          </cell>
          <cell r="K96">
            <v>12350</v>
          </cell>
          <cell r="L96">
            <v>9497</v>
          </cell>
          <cell r="M96">
            <v>931</v>
          </cell>
          <cell r="N96">
            <v>365</v>
          </cell>
          <cell r="O96">
            <v>339</v>
          </cell>
          <cell r="P96">
            <v>564</v>
          </cell>
          <cell r="Q96">
            <v>77</v>
          </cell>
          <cell r="R96">
            <v>78</v>
          </cell>
          <cell r="S96">
            <v>464</v>
          </cell>
          <cell r="T96">
            <v>82</v>
          </cell>
        </row>
        <row r="97">
          <cell r="B97" t="str">
            <v>Di Akhir Triwulan</v>
          </cell>
          <cell r="C97" t="str">
            <v>TBM</v>
          </cell>
          <cell r="D97">
            <v>60</v>
          </cell>
          <cell r="E97">
            <v>550</v>
          </cell>
          <cell r="F97">
            <v>67</v>
          </cell>
          <cell r="G97">
            <v>1405</v>
          </cell>
          <cell r="H97">
            <v>462</v>
          </cell>
          <cell r="K97">
            <v>450</v>
          </cell>
          <cell r="L97">
            <v>6499</v>
          </cell>
          <cell r="M97">
            <v>482</v>
          </cell>
          <cell r="N97">
            <v>50</v>
          </cell>
          <cell r="O97">
            <v>67</v>
          </cell>
          <cell r="P97">
            <v>191</v>
          </cell>
          <cell r="Q97">
            <v>21</v>
          </cell>
          <cell r="R97">
            <v>47</v>
          </cell>
          <cell r="S97">
            <v>240</v>
          </cell>
        </row>
        <row r="98">
          <cell r="C98" t="str">
            <v>TPSM</v>
          </cell>
          <cell r="D98">
            <v>412</v>
          </cell>
          <cell r="E98">
            <v>216</v>
          </cell>
          <cell r="F98">
            <v>325</v>
          </cell>
          <cell r="G98">
            <v>1070</v>
          </cell>
          <cell r="H98">
            <v>76</v>
          </cell>
          <cell r="I98">
            <v>125</v>
          </cell>
          <cell r="J98">
            <v>800</v>
          </cell>
          <cell r="K98">
            <v>11900</v>
          </cell>
          <cell r="L98">
            <v>2905</v>
          </cell>
          <cell r="M98">
            <v>449</v>
          </cell>
          <cell r="N98">
            <v>315</v>
          </cell>
          <cell r="O98">
            <v>255</v>
          </cell>
          <cell r="P98">
            <v>373</v>
          </cell>
          <cell r="Q98">
            <v>56</v>
          </cell>
          <cell r="R98">
            <v>31</v>
          </cell>
          <cell r="S98">
            <v>224</v>
          </cell>
          <cell r="T98">
            <v>12</v>
          </cell>
        </row>
        <row r="99">
          <cell r="C99" t="str">
            <v>TPBM</v>
          </cell>
          <cell r="D99">
            <v>0</v>
          </cell>
          <cell r="E99">
            <v>559</v>
          </cell>
          <cell r="F99">
            <v>17</v>
          </cell>
          <cell r="G99">
            <v>307</v>
          </cell>
          <cell r="H99">
            <v>60</v>
          </cell>
          <cell r="I99">
            <v>3945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70</v>
          </cell>
        </row>
        <row r="100">
          <cell r="C100" t="str">
            <v>TR</v>
          </cell>
          <cell r="D100">
            <v>8</v>
          </cell>
          <cell r="F100">
            <v>5</v>
          </cell>
          <cell r="G100">
            <v>20</v>
          </cell>
          <cell r="I100">
            <v>10</v>
          </cell>
          <cell r="L100">
            <v>93</v>
          </cell>
          <cell r="O100">
            <v>17</v>
          </cell>
        </row>
        <row r="101">
          <cell r="B101" t="str">
            <v>Produksi</v>
          </cell>
          <cell r="C101" t="str">
            <v>(kuintal)</v>
          </cell>
          <cell r="D101">
            <v>318.60000000000002</v>
          </cell>
          <cell r="E101">
            <v>86</v>
          </cell>
          <cell r="F101">
            <v>162.5</v>
          </cell>
          <cell r="G101">
            <v>256.77</v>
          </cell>
          <cell r="H101">
            <v>112</v>
          </cell>
          <cell r="I101">
            <v>30</v>
          </cell>
          <cell r="J101">
            <v>360</v>
          </cell>
          <cell r="K101">
            <v>670</v>
          </cell>
          <cell r="L101">
            <v>225</v>
          </cell>
          <cell r="M101">
            <v>820.64</v>
          </cell>
          <cell r="N101">
            <v>18.899999999999999</v>
          </cell>
          <cell r="O101">
            <v>51</v>
          </cell>
          <cell r="P101">
            <v>191.31</v>
          </cell>
          <cell r="Q101">
            <v>1.68</v>
          </cell>
          <cell r="R101">
            <v>0.11</v>
          </cell>
          <cell r="S101">
            <v>44.8</v>
          </cell>
          <cell r="T101">
            <v>1</v>
          </cell>
        </row>
        <row r="102">
          <cell r="B102" t="str">
            <v>Provitas</v>
          </cell>
          <cell r="C102" t="str">
            <v>(ku/pohon)</v>
          </cell>
          <cell r="D102">
            <v>0.77330097087378646</v>
          </cell>
          <cell r="E102">
            <v>0.39814814814814814</v>
          </cell>
          <cell r="F102">
            <v>0.5</v>
          </cell>
          <cell r="G102">
            <v>0.23997196261682241</v>
          </cell>
          <cell r="H102">
            <v>1.4736842105263157</v>
          </cell>
          <cell r="I102">
            <v>0.24</v>
          </cell>
          <cell r="J102">
            <v>0.45</v>
          </cell>
          <cell r="K102">
            <v>5.6302521008403363E-2</v>
          </cell>
          <cell r="L102">
            <v>7.7452667814113599E-2</v>
          </cell>
          <cell r="M102">
            <v>1.827706013363029</v>
          </cell>
          <cell r="N102">
            <v>0.06</v>
          </cell>
          <cell r="O102">
            <v>0.2</v>
          </cell>
          <cell r="P102">
            <v>0.51289544235924933</v>
          </cell>
          <cell r="Q102">
            <v>0.03</v>
          </cell>
          <cell r="R102">
            <v>3.5483870967741938E-3</v>
          </cell>
          <cell r="S102">
            <v>0.19999999999999998</v>
          </cell>
          <cell r="T102">
            <v>8.3333333333333329E-2</v>
          </cell>
        </row>
        <row r="103">
          <cell r="B103" t="str">
            <v>Harga/kg</v>
          </cell>
          <cell r="C103" t="str">
            <v>Rupiah</v>
          </cell>
          <cell r="D103">
            <v>8000</v>
          </cell>
          <cell r="E103">
            <v>8000</v>
          </cell>
          <cell r="F103">
            <v>15000</v>
          </cell>
          <cell r="G103">
            <v>8000</v>
          </cell>
          <cell r="H103">
            <v>6000</v>
          </cell>
          <cell r="I103">
            <v>8000</v>
          </cell>
          <cell r="J103">
            <v>8000</v>
          </cell>
          <cell r="K103">
            <v>12000</v>
          </cell>
          <cell r="L103">
            <v>6000</v>
          </cell>
          <cell r="M103">
            <v>10000</v>
          </cell>
          <cell r="N103">
            <v>6000</v>
          </cell>
          <cell r="O103">
            <v>5000</v>
          </cell>
          <cell r="P103">
            <v>8000</v>
          </cell>
          <cell r="Q103">
            <v>6000</v>
          </cell>
          <cell r="R103">
            <v>9000</v>
          </cell>
          <cell r="S103">
            <v>6000</v>
          </cell>
          <cell r="T103">
            <v>4000</v>
          </cell>
        </row>
        <row r="104">
          <cell r="A104" t="str">
            <v>Jeruk Lemon</v>
          </cell>
          <cell r="B104" t="str">
            <v>Tan Akhir Trw lalu</v>
          </cell>
          <cell r="C104" t="str">
            <v>Pohon/rumpun</v>
          </cell>
          <cell r="D104">
            <v>0</v>
          </cell>
          <cell r="E104">
            <v>185</v>
          </cell>
          <cell r="F104">
            <v>0</v>
          </cell>
          <cell r="G104">
            <v>4158</v>
          </cell>
          <cell r="H104">
            <v>0</v>
          </cell>
          <cell r="I104">
            <v>6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B105" t="str">
            <v>Selama Triwulan</v>
          </cell>
          <cell r="C105" t="str">
            <v>Bongkar</v>
          </cell>
          <cell r="G105">
            <v>16</v>
          </cell>
        </row>
        <row r="106">
          <cell r="C106" t="str">
            <v>Baru</v>
          </cell>
        </row>
        <row r="107">
          <cell r="B107" t="str">
            <v xml:space="preserve">∑ Tanaman Akhir </v>
          </cell>
          <cell r="C107" t="str">
            <v>Pohon/rumpun</v>
          </cell>
          <cell r="D107">
            <v>0</v>
          </cell>
          <cell r="E107">
            <v>185</v>
          </cell>
          <cell r="F107">
            <v>0</v>
          </cell>
          <cell r="G107">
            <v>4142</v>
          </cell>
          <cell r="H107">
            <v>0</v>
          </cell>
          <cell r="I107">
            <v>6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Di Akhir Triwulan</v>
          </cell>
          <cell r="C108" t="str">
            <v>TBM</v>
          </cell>
          <cell r="E108">
            <v>132</v>
          </cell>
          <cell r="G108">
            <v>2645</v>
          </cell>
          <cell r="I108">
            <v>5</v>
          </cell>
        </row>
        <row r="109">
          <cell r="C109" t="str">
            <v>TPSM</v>
          </cell>
          <cell r="G109">
            <v>1200</v>
          </cell>
          <cell r="I109">
            <v>1</v>
          </cell>
        </row>
        <row r="110">
          <cell r="C110" t="str">
            <v>TPBM</v>
          </cell>
          <cell r="D110">
            <v>0</v>
          </cell>
          <cell r="E110">
            <v>53</v>
          </cell>
          <cell r="F110">
            <v>0</v>
          </cell>
          <cell r="G110">
            <v>281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C111" t="str">
            <v>TR</v>
          </cell>
          <cell r="G111">
            <v>16</v>
          </cell>
        </row>
        <row r="112">
          <cell r="B112" t="str">
            <v>Produksi</v>
          </cell>
          <cell r="C112" t="str">
            <v>(kuintal)</v>
          </cell>
          <cell r="D112">
            <v>0</v>
          </cell>
          <cell r="E112">
            <v>0</v>
          </cell>
          <cell r="F112">
            <v>0</v>
          </cell>
          <cell r="G112">
            <v>72</v>
          </cell>
          <cell r="H112">
            <v>0</v>
          </cell>
          <cell r="I112">
            <v>0.06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B113" t="str">
            <v>Provitas</v>
          </cell>
          <cell r="C113" t="str">
            <v>(ku/pohon)</v>
          </cell>
          <cell r="D113" t="e">
            <v>#DIV/0!</v>
          </cell>
          <cell r="E113" t="e">
            <v>#DIV/0!</v>
          </cell>
          <cell r="F113" t="e">
            <v>#DIV/0!</v>
          </cell>
          <cell r="G113">
            <v>0.06</v>
          </cell>
          <cell r="H113" t="e">
            <v>#DIV/0!</v>
          </cell>
          <cell r="I113">
            <v>0.06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</row>
        <row r="114">
          <cell r="B114" t="str">
            <v>Harga/kg</v>
          </cell>
          <cell r="C114" t="str">
            <v>Rupiah</v>
          </cell>
          <cell r="D114">
            <v>0</v>
          </cell>
          <cell r="E114">
            <v>0</v>
          </cell>
          <cell r="F114">
            <v>0</v>
          </cell>
          <cell r="G114">
            <v>10000</v>
          </cell>
          <cell r="H114">
            <v>0</v>
          </cell>
          <cell r="I114">
            <v>11000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Jeruk Pamelo</v>
          </cell>
          <cell r="B115" t="str">
            <v>Tan Akhir Trw lalu</v>
          </cell>
          <cell r="C115" t="str">
            <v>Pohon/rumpun</v>
          </cell>
          <cell r="D115">
            <v>0</v>
          </cell>
          <cell r="E115">
            <v>230</v>
          </cell>
          <cell r="F115">
            <v>0</v>
          </cell>
          <cell r="G115">
            <v>244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50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>Selama Triwulan</v>
          </cell>
          <cell r="C116" t="str">
            <v>Bongkar</v>
          </cell>
          <cell r="G116">
            <v>11</v>
          </cell>
        </row>
        <row r="117">
          <cell r="C117" t="str">
            <v>Baru</v>
          </cell>
        </row>
        <row r="118">
          <cell r="B118" t="str">
            <v xml:space="preserve">∑ Tanaman Akhir </v>
          </cell>
          <cell r="C118" t="str">
            <v>Pohon/rumpun</v>
          </cell>
          <cell r="D118">
            <v>0</v>
          </cell>
          <cell r="E118">
            <v>230</v>
          </cell>
          <cell r="F118">
            <v>0</v>
          </cell>
          <cell r="G118">
            <v>233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Di Akhir Triwulan</v>
          </cell>
          <cell r="C119" t="str">
            <v>TBM</v>
          </cell>
          <cell r="E119">
            <v>230</v>
          </cell>
          <cell r="G119">
            <v>170</v>
          </cell>
          <cell r="L119">
            <v>23</v>
          </cell>
        </row>
        <row r="120">
          <cell r="C120" t="str">
            <v>TPSM</v>
          </cell>
          <cell r="G120">
            <v>50</v>
          </cell>
          <cell r="L120">
            <v>27</v>
          </cell>
        </row>
        <row r="121">
          <cell r="C121" t="str">
            <v>TPBM</v>
          </cell>
          <cell r="D121">
            <v>0</v>
          </cell>
          <cell r="E121">
            <v>0</v>
          </cell>
          <cell r="F121">
            <v>0</v>
          </cell>
          <cell r="G121">
            <v>5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C122" t="str">
            <v>TR</v>
          </cell>
          <cell r="G122">
            <v>8</v>
          </cell>
        </row>
        <row r="123">
          <cell r="B123" t="str">
            <v>Produksi</v>
          </cell>
          <cell r="C123" t="str">
            <v>(kuintal)</v>
          </cell>
          <cell r="D123">
            <v>0</v>
          </cell>
          <cell r="E123">
            <v>0</v>
          </cell>
          <cell r="F123">
            <v>0</v>
          </cell>
          <cell r="G123">
            <v>18.440000000000001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9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B124" t="str">
            <v>Provitas</v>
          </cell>
          <cell r="C124" t="str">
            <v>(ku/pohon)</v>
          </cell>
          <cell r="D124" t="e">
            <v>#DIV/0!</v>
          </cell>
          <cell r="E124" t="e">
            <v>#DIV/0!</v>
          </cell>
          <cell r="F124" t="e">
            <v>#DIV/0!</v>
          </cell>
          <cell r="G124">
            <v>0.36880000000000002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>
            <v>0.33333333333333331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  <cell r="R124" t="e">
            <v>#DIV/0!</v>
          </cell>
          <cell r="S124" t="e">
            <v>#DIV/0!</v>
          </cell>
          <cell r="T124" t="e">
            <v>#DIV/0!</v>
          </cell>
        </row>
        <row r="125">
          <cell r="B125" t="str">
            <v>Harga/kg</v>
          </cell>
          <cell r="C125" t="str">
            <v>Rupiah</v>
          </cell>
          <cell r="D125">
            <v>0</v>
          </cell>
          <cell r="E125">
            <v>0</v>
          </cell>
          <cell r="F125">
            <v>0</v>
          </cell>
          <cell r="G125">
            <v>15000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12000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 t="str">
            <v>Jeruk Siam/Keprok</v>
          </cell>
          <cell r="B126" t="str">
            <v>Tan Akhir Trw lalu</v>
          </cell>
          <cell r="C126" t="str">
            <v>Pohon/rumpun</v>
          </cell>
          <cell r="D126">
            <v>186</v>
          </cell>
          <cell r="E126">
            <v>435</v>
          </cell>
          <cell r="F126">
            <v>0</v>
          </cell>
          <cell r="G126">
            <v>838</v>
          </cell>
          <cell r="H126">
            <v>1099</v>
          </cell>
          <cell r="I126">
            <v>344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B127" t="str">
            <v>Selama Triwulan</v>
          </cell>
          <cell r="C127" t="str">
            <v>Bongkar</v>
          </cell>
          <cell r="G127">
            <v>9</v>
          </cell>
          <cell r="H127">
            <v>18</v>
          </cell>
          <cell r="I127">
            <v>4</v>
          </cell>
        </row>
        <row r="128">
          <cell r="C128" t="str">
            <v>Baru</v>
          </cell>
        </row>
        <row r="129">
          <cell r="B129" t="str">
            <v xml:space="preserve">∑ Tanaman Akhir </v>
          </cell>
          <cell r="C129" t="str">
            <v>Pohon/rumpun</v>
          </cell>
          <cell r="D129">
            <v>186</v>
          </cell>
          <cell r="E129">
            <v>435</v>
          </cell>
          <cell r="F129">
            <v>0</v>
          </cell>
          <cell r="G129">
            <v>829</v>
          </cell>
          <cell r="H129">
            <v>1081</v>
          </cell>
          <cell r="I129">
            <v>340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B130" t="str">
            <v>Di Akhir Triwulan</v>
          </cell>
          <cell r="C130" t="str">
            <v>TBM</v>
          </cell>
          <cell r="D130">
            <v>56</v>
          </cell>
          <cell r="E130">
            <v>300</v>
          </cell>
          <cell r="G130">
            <v>182</v>
          </cell>
          <cell r="H130">
            <v>700</v>
          </cell>
          <cell r="I130">
            <v>180</v>
          </cell>
        </row>
        <row r="131">
          <cell r="C131" t="str">
            <v>TPSM</v>
          </cell>
          <cell r="D131">
            <v>120</v>
          </cell>
          <cell r="G131">
            <v>230</v>
          </cell>
          <cell r="H131">
            <v>75</v>
          </cell>
          <cell r="I131">
            <v>55</v>
          </cell>
        </row>
        <row r="132">
          <cell r="C132" t="str">
            <v>TPBM</v>
          </cell>
          <cell r="D132">
            <v>0</v>
          </cell>
          <cell r="E132">
            <v>135</v>
          </cell>
          <cell r="F132">
            <v>0</v>
          </cell>
          <cell r="G132">
            <v>410</v>
          </cell>
          <cell r="H132">
            <v>306</v>
          </cell>
          <cell r="I132">
            <v>101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C133" t="str">
            <v>TR</v>
          </cell>
          <cell r="D133">
            <v>10</v>
          </cell>
          <cell r="G133">
            <v>7</v>
          </cell>
          <cell r="I133">
            <v>4</v>
          </cell>
        </row>
        <row r="134">
          <cell r="B134" t="str">
            <v>Produksi</v>
          </cell>
          <cell r="C134" t="str">
            <v>(kuintal)</v>
          </cell>
          <cell r="D134">
            <v>12</v>
          </cell>
          <cell r="E134">
            <v>0</v>
          </cell>
          <cell r="F134">
            <v>0</v>
          </cell>
          <cell r="G134">
            <v>32.65</v>
          </cell>
          <cell r="H134">
            <v>38</v>
          </cell>
          <cell r="I134">
            <v>7.8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B135" t="str">
            <v>Provitas</v>
          </cell>
          <cell r="C135" t="str">
            <v>(ku/pohon)</v>
          </cell>
          <cell r="D135">
            <v>0.1</v>
          </cell>
          <cell r="E135" t="e">
            <v>#DIV/0!</v>
          </cell>
          <cell r="F135" t="e">
            <v>#DIV/0!</v>
          </cell>
          <cell r="G135">
            <v>0.14195652173913043</v>
          </cell>
          <cell r="H135">
            <v>0.50666666666666671</v>
          </cell>
          <cell r="I135">
            <v>0.14181818181818182</v>
          </cell>
          <cell r="J135" t="e">
            <v>#DIV/0!</v>
          </cell>
          <cell r="K135" t="e">
            <v>#DIV/0!</v>
          </cell>
          <cell r="L135" t="e">
            <v>#DIV/0!</v>
          </cell>
          <cell r="M135" t="e">
            <v>#DIV/0!</v>
          </cell>
          <cell r="N135" t="e">
            <v>#DIV/0!</v>
          </cell>
          <cell r="O135" t="e">
            <v>#DIV/0!</v>
          </cell>
          <cell r="P135" t="e">
            <v>#DIV/0!</v>
          </cell>
          <cell r="Q135" t="e">
            <v>#DIV/0!</v>
          </cell>
          <cell r="R135" t="e">
            <v>#DIV/0!</v>
          </cell>
          <cell r="S135" t="e">
            <v>#DIV/0!</v>
          </cell>
          <cell r="T135" t="e">
            <v>#DIV/0!</v>
          </cell>
        </row>
        <row r="136">
          <cell r="B136" t="str">
            <v>Harga/kg</v>
          </cell>
          <cell r="C136" t="str">
            <v>Rupiah</v>
          </cell>
          <cell r="D136">
            <v>10000</v>
          </cell>
          <cell r="E136">
            <v>0</v>
          </cell>
          <cell r="F136">
            <v>0</v>
          </cell>
          <cell r="G136">
            <v>10000</v>
          </cell>
          <cell r="H136">
            <v>11000</v>
          </cell>
          <cell r="I136">
            <v>9000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Lengkeng</v>
          </cell>
          <cell r="B137" t="str">
            <v>Tan Akhir Trw lalu</v>
          </cell>
          <cell r="C137" t="str">
            <v>Pohon/rumpun</v>
          </cell>
          <cell r="D137">
            <v>400</v>
          </cell>
          <cell r="E137">
            <v>600</v>
          </cell>
          <cell r="F137">
            <v>2475</v>
          </cell>
          <cell r="G137">
            <v>1918</v>
          </cell>
          <cell r="H137">
            <v>3824</v>
          </cell>
          <cell r="I137">
            <v>11575</v>
          </cell>
          <cell r="J137">
            <v>8700</v>
          </cell>
          <cell r="K137">
            <v>150</v>
          </cell>
          <cell r="L137">
            <v>709</v>
          </cell>
          <cell r="M137">
            <v>0</v>
          </cell>
          <cell r="N137">
            <v>0</v>
          </cell>
          <cell r="O137">
            <v>96</v>
          </cell>
          <cell r="P137">
            <v>5030</v>
          </cell>
          <cell r="Q137">
            <v>15</v>
          </cell>
          <cell r="R137">
            <v>0</v>
          </cell>
          <cell r="S137">
            <v>105</v>
          </cell>
          <cell r="T137">
            <v>0</v>
          </cell>
        </row>
        <row r="138">
          <cell r="B138" t="str">
            <v>Selama Triwulan</v>
          </cell>
          <cell r="C138" t="str">
            <v>Bongkar</v>
          </cell>
          <cell r="F138">
            <v>145</v>
          </cell>
          <cell r="G138">
            <v>12</v>
          </cell>
          <cell r="J138">
            <v>40</v>
          </cell>
          <cell r="L138">
            <v>7</v>
          </cell>
          <cell r="O138">
            <v>19</v>
          </cell>
          <cell r="P138">
            <v>13</v>
          </cell>
        </row>
        <row r="139">
          <cell r="C139" t="str">
            <v>Baru</v>
          </cell>
          <cell r="P139">
            <v>150</v>
          </cell>
        </row>
        <row r="140">
          <cell r="B140" t="str">
            <v xml:space="preserve">∑ Tanaman Akhir </v>
          </cell>
          <cell r="C140" t="str">
            <v>Pohon/rumpun</v>
          </cell>
          <cell r="D140">
            <v>400</v>
          </cell>
          <cell r="E140">
            <v>600</v>
          </cell>
          <cell r="F140">
            <v>2330</v>
          </cell>
          <cell r="G140">
            <v>1906</v>
          </cell>
          <cell r="H140">
            <v>3824</v>
          </cell>
          <cell r="I140">
            <v>11575</v>
          </cell>
          <cell r="J140">
            <v>8660</v>
          </cell>
          <cell r="K140">
            <v>150</v>
          </cell>
          <cell r="L140">
            <v>702</v>
          </cell>
          <cell r="M140">
            <v>0</v>
          </cell>
          <cell r="N140">
            <v>0</v>
          </cell>
          <cell r="O140">
            <v>77</v>
          </cell>
          <cell r="P140">
            <v>5167</v>
          </cell>
          <cell r="Q140">
            <v>15</v>
          </cell>
          <cell r="R140">
            <v>0</v>
          </cell>
          <cell r="S140">
            <v>105</v>
          </cell>
          <cell r="T140">
            <v>0</v>
          </cell>
        </row>
        <row r="141">
          <cell r="B141" t="str">
            <v>Di Akhir Triwulan</v>
          </cell>
          <cell r="C141" t="str">
            <v>TBM</v>
          </cell>
          <cell r="D141">
            <v>194</v>
          </cell>
          <cell r="E141">
            <v>490</v>
          </cell>
          <cell r="F141">
            <v>1345</v>
          </cell>
          <cell r="G141">
            <v>1890</v>
          </cell>
          <cell r="H141">
            <v>3824</v>
          </cell>
          <cell r="I141">
            <v>10650</v>
          </cell>
          <cell r="K141">
            <v>90</v>
          </cell>
          <cell r="L141">
            <v>543</v>
          </cell>
          <cell r="O141">
            <v>15</v>
          </cell>
          <cell r="P141">
            <v>980</v>
          </cell>
          <cell r="Q141">
            <v>15</v>
          </cell>
          <cell r="S141">
            <v>105</v>
          </cell>
        </row>
        <row r="142">
          <cell r="C142" t="str">
            <v>TPSM</v>
          </cell>
          <cell r="D142">
            <v>200</v>
          </cell>
          <cell r="E142">
            <v>110</v>
          </cell>
          <cell r="F142">
            <v>345</v>
          </cell>
          <cell r="G142">
            <v>0</v>
          </cell>
          <cell r="I142">
            <v>660</v>
          </cell>
          <cell r="J142">
            <v>8660</v>
          </cell>
          <cell r="K142">
            <v>60</v>
          </cell>
          <cell r="L142">
            <v>134</v>
          </cell>
          <cell r="O142">
            <v>58</v>
          </cell>
          <cell r="P142">
            <v>4187</v>
          </cell>
        </row>
        <row r="143">
          <cell r="C143" t="str">
            <v>TPBM</v>
          </cell>
          <cell r="D143">
            <v>0</v>
          </cell>
          <cell r="E143">
            <v>0</v>
          </cell>
          <cell r="F143">
            <v>515</v>
          </cell>
          <cell r="G143">
            <v>10</v>
          </cell>
          <cell r="H143">
            <v>0</v>
          </cell>
          <cell r="I143">
            <v>265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C144" t="str">
            <v>TR</v>
          </cell>
          <cell r="D144">
            <v>6</v>
          </cell>
          <cell r="F144">
            <v>125</v>
          </cell>
          <cell r="G144">
            <v>6</v>
          </cell>
          <cell r="L144">
            <v>25</v>
          </cell>
          <cell r="O144">
            <v>4</v>
          </cell>
        </row>
        <row r="145">
          <cell r="B145" t="str">
            <v>Produksi</v>
          </cell>
          <cell r="C145" t="str">
            <v>(kuintal)</v>
          </cell>
          <cell r="D145">
            <v>20</v>
          </cell>
          <cell r="E145">
            <v>44</v>
          </cell>
          <cell r="F145">
            <v>345</v>
          </cell>
          <cell r="G145">
            <v>0</v>
          </cell>
          <cell r="H145">
            <v>0</v>
          </cell>
          <cell r="I145">
            <v>165</v>
          </cell>
          <cell r="J145">
            <v>1732</v>
          </cell>
          <cell r="K145">
            <v>10</v>
          </cell>
          <cell r="L145">
            <v>11</v>
          </cell>
          <cell r="M145">
            <v>0</v>
          </cell>
          <cell r="N145">
            <v>0</v>
          </cell>
          <cell r="O145">
            <v>28.8</v>
          </cell>
          <cell r="P145">
            <v>143.21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B146" t="str">
            <v>Provitas</v>
          </cell>
          <cell r="C146" t="str">
            <v>(ku/pohon)</v>
          </cell>
          <cell r="D146">
            <v>0.1</v>
          </cell>
          <cell r="E146">
            <v>0.4</v>
          </cell>
          <cell r="F146">
            <v>1</v>
          </cell>
          <cell r="G146" t="e">
            <v>#DIV/0!</v>
          </cell>
          <cell r="H146" t="e">
            <v>#DIV/0!</v>
          </cell>
          <cell r="I146">
            <v>0.25</v>
          </cell>
          <cell r="J146">
            <v>0.2</v>
          </cell>
          <cell r="K146">
            <v>0.16666666666666666</v>
          </cell>
          <cell r="L146">
            <v>8.2089552238805971E-2</v>
          </cell>
          <cell r="M146" t="e">
            <v>#DIV/0!</v>
          </cell>
          <cell r="N146" t="e">
            <v>#DIV/0!</v>
          </cell>
          <cell r="O146">
            <v>0.49655172413793103</v>
          </cell>
          <cell r="P146">
            <v>3.4203486983520423E-2</v>
          </cell>
          <cell r="Q146" t="e">
            <v>#DIV/0!</v>
          </cell>
          <cell r="R146" t="e">
            <v>#DIV/0!</v>
          </cell>
          <cell r="S146" t="e">
            <v>#DIV/0!</v>
          </cell>
          <cell r="T146" t="e">
            <v>#DIV/0!</v>
          </cell>
        </row>
        <row r="147">
          <cell r="B147" t="str">
            <v>Harga/kg</v>
          </cell>
          <cell r="C147" t="str">
            <v>Rupiah</v>
          </cell>
          <cell r="D147">
            <v>28000</v>
          </cell>
          <cell r="E147">
            <v>35000</v>
          </cell>
          <cell r="F147">
            <v>50000</v>
          </cell>
          <cell r="G147">
            <v>0</v>
          </cell>
          <cell r="H147">
            <v>0</v>
          </cell>
          <cell r="I147">
            <v>38000</v>
          </cell>
          <cell r="J147">
            <v>40000</v>
          </cell>
          <cell r="K147">
            <v>25000</v>
          </cell>
          <cell r="L147">
            <v>18000</v>
          </cell>
          <cell r="M147">
            <v>0</v>
          </cell>
          <cell r="N147">
            <v>0</v>
          </cell>
          <cell r="O147">
            <v>50000</v>
          </cell>
          <cell r="P147">
            <v>30000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 t="str">
            <v>Mangga</v>
          </cell>
          <cell r="B148" t="str">
            <v>Tan Akhir Trw lalu</v>
          </cell>
          <cell r="C148" t="str">
            <v>Pohon/rumpun</v>
          </cell>
          <cell r="D148">
            <v>5000</v>
          </cell>
          <cell r="E148">
            <v>29571</v>
          </cell>
          <cell r="F148">
            <v>11200</v>
          </cell>
          <cell r="G148">
            <v>16234</v>
          </cell>
          <cell r="H148">
            <v>7239</v>
          </cell>
          <cell r="I148">
            <v>19069</v>
          </cell>
          <cell r="J148">
            <v>9987</v>
          </cell>
          <cell r="K148">
            <v>44910</v>
          </cell>
          <cell r="L148">
            <v>93911</v>
          </cell>
          <cell r="M148">
            <v>46891</v>
          </cell>
          <cell r="N148">
            <v>5800</v>
          </cell>
          <cell r="O148">
            <v>4326</v>
          </cell>
          <cell r="P148">
            <v>23337</v>
          </cell>
          <cell r="Q148">
            <v>7993</v>
          </cell>
          <cell r="R148">
            <v>5447</v>
          </cell>
          <cell r="S148">
            <v>985</v>
          </cell>
          <cell r="T148">
            <v>28995</v>
          </cell>
        </row>
        <row r="149">
          <cell r="B149" t="str">
            <v>Selama Triwulan</v>
          </cell>
          <cell r="C149" t="str">
            <v>Bongkar</v>
          </cell>
          <cell r="F149">
            <v>118</v>
          </cell>
          <cell r="G149">
            <v>50</v>
          </cell>
          <cell r="I149">
            <v>18</v>
          </cell>
          <cell r="K149">
            <v>50</v>
          </cell>
          <cell r="L149">
            <v>186</v>
          </cell>
          <cell r="M149">
            <v>1173</v>
          </cell>
          <cell r="O149">
            <v>1298</v>
          </cell>
          <cell r="P149">
            <v>26</v>
          </cell>
          <cell r="Q149">
            <v>95</v>
          </cell>
          <cell r="R149">
            <v>18</v>
          </cell>
        </row>
        <row r="150">
          <cell r="C150" t="str">
            <v>Baru</v>
          </cell>
          <cell r="K150">
            <v>10</v>
          </cell>
          <cell r="N150">
            <v>50</v>
          </cell>
          <cell r="P150">
            <v>20</v>
          </cell>
        </row>
        <row r="151">
          <cell r="B151" t="str">
            <v xml:space="preserve">∑ Tanaman Akhir </v>
          </cell>
          <cell r="C151" t="str">
            <v>Pohon/rumpun</v>
          </cell>
          <cell r="D151">
            <v>5000</v>
          </cell>
          <cell r="E151">
            <v>29571</v>
          </cell>
          <cell r="F151">
            <v>11082</v>
          </cell>
          <cell r="G151">
            <v>16184</v>
          </cell>
          <cell r="H151">
            <v>7239</v>
          </cell>
          <cell r="I151">
            <v>19051</v>
          </cell>
          <cell r="J151">
            <v>9987</v>
          </cell>
          <cell r="K151">
            <v>44870</v>
          </cell>
          <cell r="L151">
            <v>93725</v>
          </cell>
          <cell r="M151">
            <v>45718</v>
          </cell>
          <cell r="N151">
            <v>5850</v>
          </cell>
          <cell r="O151">
            <v>3028</v>
          </cell>
          <cell r="P151">
            <v>23331</v>
          </cell>
          <cell r="Q151">
            <v>7898</v>
          </cell>
          <cell r="R151">
            <v>5429</v>
          </cell>
          <cell r="S151">
            <v>985</v>
          </cell>
          <cell r="T151">
            <v>28995</v>
          </cell>
        </row>
        <row r="152">
          <cell r="B152" t="str">
            <v>Di Akhir Triwulan</v>
          </cell>
          <cell r="C152" t="str">
            <v>TBM</v>
          </cell>
          <cell r="D152">
            <v>916</v>
          </cell>
          <cell r="E152">
            <v>8500</v>
          </cell>
          <cell r="F152">
            <v>6132</v>
          </cell>
          <cell r="G152">
            <v>2039</v>
          </cell>
          <cell r="H152">
            <v>1020</v>
          </cell>
          <cell r="I152">
            <v>4137</v>
          </cell>
          <cell r="K152">
            <v>1200</v>
          </cell>
          <cell r="L152">
            <v>93133</v>
          </cell>
          <cell r="M152">
            <v>37543</v>
          </cell>
          <cell r="N152">
            <v>5000</v>
          </cell>
          <cell r="O152">
            <v>606</v>
          </cell>
          <cell r="P152">
            <v>21738</v>
          </cell>
          <cell r="Q152">
            <v>1232</v>
          </cell>
          <cell r="R152">
            <v>2498</v>
          </cell>
          <cell r="S152">
            <v>825</v>
          </cell>
          <cell r="T152">
            <v>115</v>
          </cell>
        </row>
        <row r="153">
          <cell r="C153" t="str">
            <v>TPSM</v>
          </cell>
          <cell r="D153">
            <v>4080</v>
          </cell>
          <cell r="F153">
            <v>4017</v>
          </cell>
          <cell r="J153">
            <v>9987</v>
          </cell>
          <cell r="K153">
            <v>43670</v>
          </cell>
          <cell r="L153">
            <v>196</v>
          </cell>
          <cell r="M153">
            <v>8175</v>
          </cell>
          <cell r="N153">
            <v>850</v>
          </cell>
          <cell r="O153">
            <v>2271</v>
          </cell>
          <cell r="P153">
            <v>1590</v>
          </cell>
          <cell r="Q153">
            <v>6611</v>
          </cell>
          <cell r="R153">
            <v>2910</v>
          </cell>
          <cell r="S153">
            <v>160</v>
          </cell>
          <cell r="T153">
            <v>70</v>
          </cell>
        </row>
        <row r="154">
          <cell r="C154" t="str">
            <v>TPBM</v>
          </cell>
          <cell r="D154">
            <v>0</v>
          </cell>
          <cell r="E154">
            <v>21071</v>
          </cell>
          <cell r="F154">
            <v>835</v>
          </cell>
          <cell r="G154">
            <v>14110</v>
          </cell>
          <cell r="H154">
            <v>6219</v>
          </cell>
          <cell r="I154">
            <v>14896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28810</v>
          </cell>
        </row>
        <row r="155">
          <cell r="C155" t="str">
            <v>TR</v>
          </cell>
          <cell r="D155">
            <v>4</v>
          </cell>
          <cell r="F155">
            <v>98</v>
          </cell>
          <cell r="G155">
            <v>35</v>
          </cell>
          <cell r="I155">
            <v>18</v>
          </cell>
          <cell r="L155">
            <v>396</v>
          </cell>
          <cell r="O155">
            <v>151</v>
          </cell>
          <cell r="P155">
            <v>3</v>
          </cell>
          <cell r="Q155">
            <v>55</v>
          </cell>
          <cell r="R155">
            <v>21</v>
          </cell>
        </row>
        <row r="156">
          <cell r="B156" t="str">
            <v>Produksi</v>
          </cell>
          <cell r="C156" t="str">
            <v>(kuintal)</v>
          </cell>
          <cell r="D156">
            <v>684.24</v>
          </cell>
          <cell r="E156">
            <v>0</v>
          </cell>
          <cell r="F156">
            <v>3896.49</v>
          </cell>
          <cell r="G156">
            <v>0</v>
          </cell>
          <cell r="H156">
            <v>0</v>
          </cell>
          <cell r="I156">
            <v>0</v>
          </cell>
          <cell r="J156">
            <v>4993</v>
          </cell>
          <cell r="K156">
            <v>2100</v>
          </cell>
          <cell r="L156">
            <v>115</v>
          </cell>
          <cell r="M156">
            <v>600.83000000000004</v>
          </cell>
          <cell r="N156">
            <v>127.5</v>
          </cell>
          <cell r="O156">
            <v>2725</v>
          </cell>
          <cell r="P156">
            <v>96.83</v>
          </cell>
          <cell r="Q156">
            <v>330.55</v>
          </cell>
          <cell r="R156">
            <v>1164</v>
          </cell>
          <cell r="S156">
            <v>64</v>
          </cell>
          <cell r="T156">
            <v>70</v>
          </cell>
        </row>
        <row r="157">
          <cell r="B157" t="str">
            <v>Provitas</v>
          </cell>
          <cell r="C157" t="str">
            <v>(ku/pohon)</v>
          </cell>
          <cell r="D157">
            <v>0.16770588235294118</v>
          </cell>
          <cell r="E157" t="e">
            <v>#DIV/0!</v>
          </cell>
          <cell r="F157">
            <v>0.97</v>
          </cell>
          <cell r="G157" t="e">
            <v>#DIV/0!</v>
          </cell>
          <cell r="H157" t="e">
            <v>#DIV/0!</v>
          </cell>
          <cell r="I157" t="e">
            <v>#DIV/0!</v>
          </cell>
          <cell r="J157">
            <v>0.49994993491539003</v>
          </cell>
          <cell r="K157">
            <v>4.8087932218914588E-2</v>
          </cell>
          <cell r="L157">
            <v>0.58673469387755106</v>
          </cell>
          <cell r="M157">
            <v>7.3496024464831805E-2</v>
          </cell>
          <cell r="N157">
            <v>0.15</v>
          </cell>
          <cell r="O157">
            <v>1.1999119330691326</v>
          </cell>
          <cell r="P157">
            <v>6.089937106918239E-2</v>
          </cell>
          <cell r="Q157">
            <v>0.05</v>
          </cell>
          <cell r="R157">
            <v>0.4</v>
          </cell>
          <cell r="S157">
            <v>0.4</v>
          </cell>
          <cell r="T157">
            <v>1</v>
          </cell>
        </row>
        <row r="158">
          <cell r="B158" t="str">
            <v>Harga/kg</v>
          </cell>
          <cell r="C158" t="str">
            <v>Rupiah</v>
          </cell>
          <cell r="D158">
            <v>20000</v>
          </cell>
          <cell r="E158">
            <v>0</v>
          </cell>
          <cell r="F158">
            <v>20000</v>
          </cell>
          <cell r="G158">
            <v>0</v>
          </cell>
          <cell r="H158">
            <v>0</v>
          </cell>
          <cell r="I158">
            <v>0</v>
          </cell>
          <cell r="J158">
            <v>8000</v>
          </cell>
          <cell r="K158">
            <v>20000</v>
          </cell>
          <cell r="L158">
            <v>15000</v>
          </cell>
          <cell r="M158">
            <v>15000</v>
          </cell>
          <cell r="N158">
            <v>12000</v>
          </cell>
          <cell r="O158">
            <v>14000</v>
          </cell>
          <cell r="P158">
            <v>15000</v>
          </cell>
          <cell r="Q158">
            <v>8000</v>
          </cell>
          <cell r="R158">
            <v>11000</v>
          </cell>
          <cell r="S158">
            <v>10000</v>
          </cell>
          <cell r="T158">
            <v>7000</v>
          </cell>
        </row>
        <row r="159">
          <cell r="A159" t="str">
            <v>Manggis</v>
          </cell>
          <cell r="B159" t="str">
            <v>Tan Akhir Trw lalu</v>
          </cell>
          <cell r="C159" t="str">
            <v>Pohon/rumpun</v>
          </cell>
          <cell r="D159">
            <v>1260</v>
          </cell>
          <cell r="E159">
            <v>1429</v>
          </cell>
          <cell r="F159">
            <v>53</v>
          </cell>
          <cell r="G159">
            <v>334</v>
          </cell>
          <cell r="H159">
            <v>269</v>
          </cell>
          <cell r="I159">
            <v>340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B160" t="str">
            <v>Selama Triwulan</v>
          </cell>
          <cell r="C160" t="str">
            <v>Bongkar</v>
          </cell>
          <cell r="E160">
            <v>5</v>
          </cell>
          <cell r="F160">
            <v>19</v>
          </cell>
          <cell r="G160">
            <v>10</v>
          </cell>
        </row>
        <row r="161">
          <cell r="C161" t="str">
            <v>Baru</v>
          </cell>
        </row>
        <row r="162">
          <cell r="B162" t="str">
            <v xml:space="preserve">∑ Tanaman Akhir </v>
          </cell>
          <cell r="C162" t="str">
            <v>Pohon/rumpun</v>
          </cell>
          <cell r="D162">
            <v>1260</v>
          </cell>
          <cell r="E162">
            <v>1424</v>
          </cell>
          <cell r="F162">
            <v>34</v>
          </cell>
          <cell r="G162">
            <v>324</v>
          </cell>
          <cell r="H162">
            <v>269</v>
          </cell>
          <cell r="I162">
            <v>340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B163" t="str">
            <v>Di Akhir Triwulan</v>
          </cell>
          <cell r="C163" t="str">
            <v>TBM</v>
          </cell>
          <cell r="D163">
            <v>690</v>
          </cell>
          <cell r="E163">
            <v>875</v>
          </cell>
          <cell r="F163">
            <v>18</v>
          </cell>
          <cell r="G163">
            <v>122</v>
          </cell>
          <cell r="H163">
            <v>250</v>
          </cell>
          <cell r="I163">
            <v>115</v>
          </cell>
        </row>
        <row r="164">
          <cell r="C164" t="str">
            <v>TPSM</v>
          </cell>
          <cell r="D164">
            <v>560</v>
          </cell>
          <cell r="F164">
            <v>13</v>
          </cell>
          <cell r="G164">
            <v>46</v>
          </cell>
        </row>
        <row r="165">
          <cell r="C165" t="str">
            <v>TPBM</v>
          </cell>
          <cell r="D165">
            <v>0</v>
          </cell>
          <cell r="E165">
            <v>549</v>
          </cell>
          <cell r="F165">
            <v>2</v>
          </cell>
          <cell r="G165">
            <v>147</v>
          </cell>
          <cell r="H165">
            <v>19</v>
          </cell>
          <cell r="I165">
            <v>225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C166" t="str">
            <v>TR</v>
          </cell>
          <cell r="D166">
            <v>10</v>
          </cell>
          <cell r="F166">
            <v>1</v>
          </cell>
          <cell r="G166">
            <v>9</v>
          </cell>
        </row>
        <row r="167">
          <cell r="B167" t="str">
            <v>Produksi</v>
          </cell>
          <cell r="C167" t="str">
            <v>(kuintal)</v>
          </cell>
          <cell r="D167">
            <v>68</v>
          </cell>
          <cell r="E167">
            <v>0</v>
          </cell>
          <cell r="F167">
            <v>130</v>
          </cell>
          <cell r="G167">
            <v>11.58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B168" t="str">
            <v>Provitas</v>
          </cell>
          <cell r="C168" t="str">
            <v>(ku/pohon)</v>
          </cell>
          <cell r="D168">
            <v>0.12142857142857143</v>
          </cell>
          <cell r="E168" t="e">
            <v>#DIV/0!</v>
          </cell>
          <cell r="F168">
            <v>10</v>
          </cell>
          <cell r="G168">
            <v>0.25173913043478263</v>
          </cell>
          <cell r="H168" t="e">
            <v>#DIV/0!</v>
          </cell>
          <cell r="I168" t="e">
            <v>#DIV/0!</v>
          </cell>
          <cell r="J168" t="e">
            <v>#DIV/0!</v>
          </cell>
          <cell r="K168" t="e">
            <v>#DIV/0!</v>
          </cell>
          <cell r="L168" t="e">
            <v>#DIV/0!</v>
          </cell>
          <cell r="M168" t="e">
            <v>#DIV/0!</v>
          </cell>
          <cell r="N168" t="e">
            <v>#DIV/0!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</row>
        <row r="169">
          <cell r="B169" t="str">
            <v>Harga/kg</v>
          </cell>
          <cell r="C169" t="str">
            <v>Rupiah</v>
          </cell>
          <cell r="D169">
            <v>14000</v>
          </cell>
          <cell r="E169">
            <v>0</v>
          </cell>
          <cell r="F169">
            <v>30000</v>
          </cell>
          <cell r="G169">
            <v>12000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 t="str">
            <v>Nenas *)</v>
          </cell>
          <cell r="B170" t="str">
            <v>Tan Akhir Trw lalu</v>
          </cell>
          <cell r="C170" t="str">
            <v>Pohon/rumpun</v>
          </cell>
          <cell r="D170">
            <v>1175</v>
          </cell>
          <cell r="E170">
            <v>1945</v>
          </cell>
          <cell r="F170">
            <v>0</v>
          </cell>
          <cell r="G170">
            <v>0</v>
          </cell>
          <cell r="H170">
            <v>0</v>
          </cell>
          <cell r="I170">
            <v>39697</v>
          </cell>
          <cell r="J170">
            <v>0</v>
          </cell>
          <cell r="K170">
            <v>0</v>
          </cell>
          <cell r="L170">
            <v>1543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B171" t="str">
            <v>Selama Triwulan</v>
          </cell>
          <cell r="C171" t="str">
            <v>Bongkar</v>
          </cell>
          <cell r="I171">
            <v>240</v>
          </cell>
          <cell r="L171">
            <v>21</v>
          </cell>
        </row>
        <row r="172">
          <cell r="C172" t="str">
            <v>Baru</v>
          </cell>
        </row>
        <row r="173">
          <cell r="B173" t="str">
            <v xml:space="preserve">∑ Tanaman Akhir </v>
          </cell>
          <cell r="C173" t="str">
            <v>Pohon/rumpun</v>
          </cell>
          <cell r="D173">
            <v>1175</v>
          </cell>
          <cell r="E173">
            <v>1945</v>
          </cell>
          <cell r="F173">
            <v>0</v>
          </cell>
          <cell r="G173">
            <v>0</v>
          </cell>
          <cell r="H173">
            <v>0</v>
          </cell>
          <cell r="I173">
            <v>39457</v>
          </cell>
          <cell r="J173">
            <v>0</v>
          </cell>
          <cell r="K173">
            <v>0</v>
          </cell>
          <cell r="L173">
            <v>1522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B174" t="str">
            <v>Di Akhir Triwulan</v>
          </cell>
          <cell r="C174" t="str">
            <v>TBM</v>
          </cell>
          <cell r="D174">
            <v>259</v>
          </cell>
          <cell r="E174">
            <v>1445</v>
          </cell>
          <cell r="I174">
            <v>4420</v>
          </cell>
          <cell r="L174">
            <v>917</v>
          </cell>
        </row>
        <row r="175">
          <cell r="C175" t="str">
            <v>TPSM</v>
          </cell>
          <cell r="D175">
            <v>900</v>
          </cell>
          <cell r="I175">
            <v>1120</v>
          </cell>
          <cell r="L175">
            <v>568</v>
          </cell>
        </row>
        <row r="176">
          <cell r="C176" t="str">
            <v>TPBM</v>
          </cell>
          <cell r="D176">
            <v>0</v>
          </cell>
          <cell r="E176">
            <v>500</v>
          </cell>
          <cell r="F176">
            <v>0</v>
          </cell>
          <cell r="G176">
            <v>0</v>
          </cell>
          <cell r="H176">
            <v>0</v>
          </cell>
          <cell r="I176">
            <v>33703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C177" t="str">
            <v>TR</v>
          </cell>
          <cell r="D177">
            <v>16</v>
          </cell>
          <cell r="I177">
            <v>214</v>
          </cell>
          <cell r="L177">
            <v>37</v>
          </cell>
        </row>
        <row r="178">
          <cell r="B178" t="str">
            <v>Produksi</v>
          </cell>
          <cell r="C178" t="str">
            <v>(kuintal)</v>
          </cell>
          <cell r="D178">
            <v>72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280</v>
          </cell>
          <cell r="J178">
            <v>0</v>
          </cell>
          <cell r="K178">
            <v>0</v>
          </cell>
          <cell r="L178">
            <v>22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B179" t="str">
            <v>Provitas</v>
          </cell>
          <cell r="C179" t="str">
            <v>(ku/pohon)</v>
          </cell>
          <cell r="D179">
            <v>0.08</v>
          </cell>
          <cell r="E179" t="e">
            <v>#DIV/0!</v>
          </cell>
          <cell r="F179" t="e">
            <v>#DIV/0!</v>
          </cell>
          <cell r="G179" t="e">
            <v>#DIV/0!</v>
          </cell>
          <cell r="H179" t="e">
            <v>#DIV/0!</v>
          </cell>
          <cell r="I179">
            <v>0.25</v>
          </cell>
          <cell r="J179" t="e">
            <v>#DIV/0!</v>
          </cell>
          <cell r="K179" t="e">
            <v>#DIV/0!</v>
          </cell>
          <cell r="L179">
            <v>3.873239436619718E-2</v>
          </cell>
          <cell r="M179" t="e">
            <v>#DIV/0!</v>
          </cell>
          <cell r="N179" t="e">
            <v>#DIV/0!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</row>
        <row r="180">
          <cell r="B180" t="str">
            <v>Harga/kg</v>
          </cell>
          <cell r="C180" t="str">
            <v>Rupiah</v>
          </cell>
          <cell r="D180">
            <v>6000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7500</v>
          </cell>
          <cell r="J180">
            <v>0</v>
          </cell>
          <cell r="K180">
            <v>0</v>
          </cell>
          <cell r="L180">
            <v>5000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 t="str">
            <v>Nangka/cempedak</v>
          </cell>
          <cell r="B181" t="str">
            <v>Tan Akhir Trw lalu</v>
          </cell>
          <cell r="C181" t="str">
            <v>Pohon/rumpun</v>
          </cell>
          <cell r="D181">
            <v>1700</v>
          </cell>
          <cell r="E181">
            <v>435</v>
          </cell>
          <cell r="F181">
            <v>662</v>
          </cell>
          <cell r="G181">
            <v>6624</v>
          </cell>
          <cell r="H181">
            <v>1226</v>
          </cell>
          <cell r="I181">
            <v>417</v>
          </cell>
          <cell r="J181">
            <v>89</v>
          </cell>
          <cell r="K181">
            <v>990</v>
          </cell>
          <cell r="L181">
            <v>3215</v>
          </cell>
          <cell r="M181">
            <v>3666</v>
          </cell>
          <cell r="N181">
            <v>210</v>
          </cell>
          <cell r="O181">
            <v>140</v>
          </cell>
          <cell r="P181">
            <v>9</v>
          </cell>
          <cell r="Q181">
            <v>415</v>
          </cell>
          <cell r="R181">
            <v>100</v>
          </cell>
          <cell r="S181">
            <v>410</v>
          </cell>
          <cell r="T181">
            <v>31</v>
          </cell>
        </row>
        <row r="182">
          <cell r="B182" t="str">
            <v>Selama Triwulan</v>
          </cell>
          <cell r="C182" t="str">
            <v>Bongkar</v>
          </cell>
          <cell r="G182">
            <v>30</v>
          </cell>
          <cell r="I182">
            <v>4</v>
          </cell>
          <cell r="K182">
            <v>20</v>
          </cell>
          <cell r="L182">
            <v>58</v>
          </cell>
          <cell r="M182">
            <v>43</v>
          </cell>
          <cell r="O182">
            <v>28</v>
          </cell>
          <cell r="Q182">
            <v>32</v>
          </cell>
          <cell r="R182">
            <v>5</v>
          </cell>
        </row>
        <row r="183">
          <cell r="C183" t="str">
            <v>Baru</v>
          </cell>
        </row>
        <row r="184">
          <cell r="B184" t="str">
            <v xml:space="preserve">∑ Tanaman Akhir </v>
          </cell>
          <cell r="C184" t="str">
            <v>Pohon/rumpun</v>
          </cell>
          <cell r="D184">
            <v>1700</v>
          </cell>
          <cell r="E184">
            <v>435</v>
          </cell>
          <cell r="F184">
            <v>662</v>
          </cell>
          <cell r="G184">
            <v>6594</v>
          </cell>
          <cell r="H184">
            <v>1226</v>
          </cell>
          <cell r="I184">
            <v>413</v>
          </cell>
          <cell r="J184">
            <v>89</v>
          </cell>
          <cell r="K184">
            <v>970</v>
          </cell>
          <cell r="L184">
            <v>3157</v>
          </cell>
          <cell r="M184">
            <v>3623</v>
          </cell>
          <cell r="N184">
            <v>210</v>
          </cell>
          <cell r="O184">
            <v>112</v>
          </cell>
          <cell r="P184">
            <v>9</v>
          </cell>
          <cell r="Q184">
            <v>383</v>
          </cell>
          <cell r="R184">
            <v>95</v>
          </cell>
          <cell r="S184">
            <v>410</v>
          </cell>
          <cell r="T184">
            <v>31</v>
          </cell>
        </row>
        <row r="185">
          <cell r="B185" t="str">
            <v>Di Akhir Triwulan</v>
          </cell>
          <cell r="C185" t="str">
            <v>TBM</v>
          </cell>
          <cell r="D185">
            <v>184</v>
          </cell>
          <cell r="E185">
            <v>155</v>
          </cell>
          <cell r="F185">
            <v>111</v>
          </cell>
          <cell r="G185">
            <v>1305</v>
          </cell>
          <cell r="H185">
            <v>520</v>
          </cell>
          <cell r="I185">
            <v>10</v>
          </cell>
          <cell r="K185">
            <v>90</v>
          </cell>
          <cell r="L185">
            <v>992</v>
          </cell>
          <cell r="M185">
            <v>2431</v>
          </cell>
          <cell r="N185">
            <v>5</v>
          </cell>
          <cell r="O185">
            <v>22</v>
          </cell>
          <cell r="P185">
            <v>5</v>
          </cell>
          <cell r="Q185">
            <v>158</v>
          </cell>
          <cell r="R185">
            <v>56</v>
          </cell>
          <cell r="S185">
            <v>150</v>
          </cell>
          <cell r="T185">
            <v>8</v>
          </cell>
        </row>
        <row r="186">
          <cell r="C186" t="str">
            <v>TPSM</v>
          </cell>
          <cell r="D186">
            <v>1500</v>
          </cell>
          <cell r="F186">
            <v>524</v>
          </cell>
          <cell r="G186">
            <v>1705</v>
          </cell>
          <cell r="H186">
            <v>473</v>
          </cell>
          <cell r="I186">
            <v>35</v>
          </cell>
          <cell r="J186">
            <v>89</v>
          </cell>
          <cell r="K186">
            <v>880</v>
          </cell>
          <cell r="L186">
            <v>1920</v>
          </cell>
          <cell r="M186">
            <v>1192</v>
          </cell>
          <cell r="N186">
            <v>205</v>
          </cell>
          <cell r="O186">
            <v>84</v>
          </cell>
          <cell r="P186">
            <v>4</v>
          </cell>
          <cell r="Q186">
            <v>185</v>
          </cell>
          <cell r="R186">
            <v>39</v>
          </cell>
          <cell r="S186">
            <v>260</v>
          </cell>
          <cell r="T186">
            <v>8</v>
          </cell>
        </row>
        <row r="187">
          <cell r="C187" t="str">
            <v>TPBM</v>
          </cell>
          <cell r="D187">
            <v>0</v>
          </cell>
          <cell r="E187">
            <v>280</v>
          </cell>
          <cell r="F187">
            <v>27</v>
          </cell>
          <cell r="G187">
            <v>3561</v>
          </cell>
          <cell r="H187">
            <v>233</v>
          </cell>
          <cell r="I187">
            <v>364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15</v>
          </cell>
        </row>
        <row r="188">
          <cell r="C188" t="str">
            <v>TR</v>
          </cell>
          <cell r="D188">
            <v>16</v>
          </cell>
          <cell r="G188">
            <v>23</v>
          </cell>
          <cell r="I188">
            <v>4</v>
          </cell>
          <cell r="L188">
            <v>245</v>
          </cell>
          <cell r="O188">
            <v>6</v>
          </cell>
          <cell r="Q188">
            <v>40</v>
          </cell>
        </row>
        <row r="189">
          <cell r="B189" t="str">
            <v>Produksi</v>
          </cell>
          <cell r="C189" t="str">
            <v>(kuintal)</v>
          </cell>
          <cell r="D189">
            <v>1005.05</v>
          </cell>
          <cell r="E189">
            <v>0</v>
          </cell>
          <cell r="F189">
            <v>73.36</v>
          </cell>
          <cell r="G189">
            <v>34.15</v>
          </cell>
          <cell r="H189">
            <v>7200</v>
          </cell>
          <cell r="I189">
            <v>7.0000000000000007E-2</v>
          </cell>
          <cell r="J189">
            <v>50</v>
          </cell>
          <cell r="K189">
            <v>80</v>
          </cell>
          <cell r="L189">
            <v>953</v>
          </cell>
          <cell r="M189">
            <v>1797.92</v>
          </cell>
          <cell r="N189">
            <v>30.7</v>
          </cell>
          <cell r="O189">
            <v>67</v>
          </cell>
          <cell r="P189">
            <v>3.23</v>
          </cell>
          <cell r="Q189">
            <v>5.55</v>
          </cell>
          <cell r="R189">
            <v>58.5</v>
          </cell>
          <cell r="S189">
            <v>78</v>
          </cell>
          <cell r="T189">
            <v>18</v>
          </cell>
        </row>
        <row r="190">
          <cell r="B190" t="str">
            <v>Provitas</v>
          </cell>
          <cell r="C190" t="str">
            <v>(ku/pohon)</v>
          </cell>
          <cell r="D190">
            <v>0.67003333333333326</v>
          </cell>
          <cell r="E190" t="e">
            <v>#DIV/0!</v>
          </cell>
          <cell r="F190">
            <v>0.13999999999999999</v>
          </cell>
          <cell r="G190">
            <v>2.0029325513196479E-2</v>
          </cell>
          <cell r="H190">
            <v>15.221987315010571</v>
          </cell>
          <cell r="I190">
            <v>2E-3</v>
          </cell>
          <cell r="J190">
            <v>0.5617977528089888</v>
          </cell>
          <cell r="K190">
            <v>9.0909090909090912E-2</v>
          </cell>
          <cell r="L190">
            <v>0.49635416666666665</v>
          </cell>
          <cell r="M190">
            <v>1.5083221476510067</v>
          </cell>
          <cell r="N190">
            <v>0.1497560975609756</v>
          </cell>
          <cell r="O190">
            <v>0.79761904761904767</v>
          </cell>
          <cell r="P190">
            <v>0.8075</v>
          </cell>
          <cell r="Q190">
            <v>0.03</v>
          </cell>
          <cell r="R190">
            <v>1.5</v>
          </cell>
          <cell r="S190">
            <v>0.3</v>
          </cell>
          <cell r="T190">
            <v>2.25</v>
          </cell>
        </row>
        <row r="191">
          <cell r="B191" t="str">
            <v>Harga/kg</v>
          </cell>
          <cell r="C191" t="str">
            <v>Rupiah</v>
          </cell>
          <cell r="D191">
            <v>6500</v>
          </cell>
          <cell r="E191">
            <v>0</v>
          </cell>
          <cell r="F191">
            <v>10000</v>
          </cell>
          <cell r="G191">
            <v>7000</v>
          </cell>
          <cell r="H191">
            <v>7000</v>
          </cell>
          <cell r="I191">
            <v>3000</v>
          </cell>
          <cell r="J191">
            <v>13000</v>
          </cell>
          <cell r="K191">
            <v>10000</v>
          </cell>
          <cell r="L191">
            <v>5000</v>
          </cell>
          <cell r="M191">
            <v>15000</v>
          </cell>
          <cell r="N191">
            <v>6000</v>
          </cell>
          <cell r="O191">
            <v>5000</v>
          </cell>
          <cell r="P191">
            <v>15000</v>
          </cell>
          <cell r="Q191">
            <v>4000</v>
          </cell>
          <cell r="R191">
            <v>8000</v>
          </cell>
          <cell r="S191">
            <v>6000</v>
          </cell>
          <cell r="T191">
            <v>4000</v>
          </cell>
        </row>
        <row r="192">
          <cell r="A192" t="str">
            <v>Pepaya</v>
          </cell>
          <cell r="B192" t="str">
            <v>Tan Akhir Trw lalu</v>
          </cell>
          <cell r="C192" t="str">
            <v>Pohon/rumpun</v>
          </cell>
          <cell r="D192">
            <v>990</v>
          </cell>
          <cell r="E192">
            <v>603</v>
          </cell>
          <cell r="F192">
            <v>799</v>
          </cell>
          <cell r="G192">
            <v>9500</v>
          </cell>
          <cell r="H192">
            <v>1137</v>
          </cell>
          <cell r="I192">
            <v>2629</v>
          </cell>
          <cell r="J192">
            <v>1800</v>
          </cell>
          <cell r="K192">
            <v>510</v>
          </cell>
          <cell r="L192">
            <v>3637</v>
          </cell>
          <cell r="M192">
            <v>0</v>
          </cell>
          <cell r="N192">
            <v>575</v>
          </cell>
          <cell r="O192">
            <v>324</v>
          </cell>
          <cell r="P192">
            <v>1340</v>
          </cell>
          <cell r="Q192">
            <v>422</v>
          </cell>
          <cell r="R192">
            <v>3865</v>
          </cell>
          <cell r="S192">
            <v>1400</v>
          </cell>
          <cell r="T192">
            <v>362</v>
          </cell>
        </row>
        <row r="193">
          <cell r="B193" t="str">
            <v>Selama Triwulan</v>
          </cell>
          <cell r="C193" t="str">
            <v>Bongkar</v>
          </cell>
          <cell r="E193">
            <v>11</v>
          </cell>
          <cell r="F193">
            <v>5</v>
          </cell>
          <cell r="G193">
            <v>62</v>
          </cell>
          <cell r="H193">
            <v>176</v>
          </cell>
          <cell r="I193">
            <v>34</v>
          </cell>
          <cell r="J193">
            <v>200</v>
          </cell>
          <cell r="K193">
            <v>10</v>
          </cell>
          <cell r="L193">
            <v>14</v>
          </cell>
          <cell r="O193">
            <v>65</v>
          </cell>
          <cell r="P193">
            <v>58</v>
          </cell>
          <cell r="R193">
            <v>575</v>
          </cell>
        </row>
        <row r="194">
          <cell r="C194" t="str">
            <v>Baru</v>
          </cell>
          <cell r="E194">
            <v>32</v>
          </cell>
          <cell r="F194">
            <v>30</v>
          </cell>
          <cell r="K194">
            <v>15</v>
          </cell>
          <cell r="R194">
            <v>280</v>
          </cell>
        </row>
        <row r="195">
          <cell r="B195" t="str">
            <v xml:space="preserve">∑ Tanaman Akhir </v>
          </cell>
          <cell r="C195" t="str">
            <v>Pohon/rumpun</v>
          </cell>
          <cell r="D195">
            <v>990</v>
          </cell>
          <cell r="E195">
            <v>624</v>
          </cell>
          <cell r="F195">
            <v>824</v>
          </cell>
          <cell r="G195">
            <v>9438</v>
          </cell>
          <cell r="H195">
            <v>961</v>
          </cell>
          <cell r="I195">
            <v>2595</v>
          </cell>
          <cell r="J195">
            <v>1600</v>
          </cell>
          <cell r="K195">
            <v>515</v>
          </cell>
          <cell r="L195">
            <v>3623</v>
          </cell>
          <cell r="M195">
            <v>0</v>
          </cell>
          <cell r="N195">
            <v>575</v>
          </cell>
          <cell r="O195">
            <v>259</v>
          </cell>
          <cell r="P195">
            <v>1282</v>
          </cell>
          <cell r="Q195">
            <v>422</v>
          </cell>
          <cell r="R195">
            <v>3570</v>
          </cell>
          <cell r="S195">
            <v>1400</v>
          </cell>
          <cell r="T195">
            <v>362</v>
          </cell>
        </row>
        <row r="196">
          <cell r="B196" t="str">
            <v>Di Akhir Triwulan</v>
          </cell>
          <cell r="C196" t="str">
            <v>TBM</v>
          </cell>
          <cell r="D196">
            <v>84</v>
          </cell>
          <cell r="E196">
            <v>125</v>
          </cell>
          <cell r="F196">
            <v>134</v>
          </cell>
          <cell r="G196">
            <v>6435</v>
          </cell>
          <cell r="H196">
            <v>252</v>
          </cell>
          <cell r="I196">
            <v>365</v>
          </cell>
          <cell r="K196">
            <v>80</v>
          </cell>
          <cell r="L196">
            <v>1405</v>
          </cell>
          <cell r="N196">
            <v>50</v>
          </cell>
          <cell r="O196">
            <v>52</v>
          </cell>
          <cell r="P196">
            <v>110</v>
          </cell>
          <cell r="Q196">
            <v>120</v>
          </cell>
          <cell r="R196">
            <v>1622</v>
          </cell>
          <cell r="S196">
            <v>450</v>
          </cell>
        </row>
        <row r="197">
          <cell r="C197" t="str">
            <v>TPSM</v>
          </cell>
          <cell r="D197">
            <v>900</v>
          </cell>
          <cell r="F197">
            <v>524</v>
          </cell>
          <cell r="G197">
            <v>2305</v>
          </cell>
          <cell r="H197">
            <v>502</v>
          </cell>
          <cell r="I197">
            <v>298</v>
          </cell>
          <cell r="J197">
            <v>1600</v>
          </cell>
          <cell r="K197">
            <v>435</v>
          </cell>
          <cell r="L197">
            <v>2037</v>
          </cell>
          <cell r="N197">
            <v>525</v>
          </cell>
          <cell r="O197">
            <v>194</v>
          </cell>
          <cell r="P197">
            <v>1172</v>
          </cell>
          <cell r="Q197">
            <v>302</v>
          </cell>
          <cell r="R197">
            <v>1894</v>
          </cell>
          <cell r="S197">
            <v>950</v>
          </cell>
          <cell r="T197">
            <v>36</v>
          </cell>
        </row>
        <row r="198">
          <cell r="C198" t="str">
            <v>TPBM</v>
          </cell>
          <cell r="D198">
            <v>0</v>
          </cell>
          <cell r="E198">
            <v>499</v>
          </cell>
          <cell r="F198">
            <v>154</v>
          </cell>
          <cell r="G198">
            <v>668</v>
          </cell>
          <cell r="H198">
            <v>207</v>
          </cell>
          <cell r="I198">
            <v>1898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326</v>
          </cell>
        </row>
        <row r="199">
          <cell r="C199" t="str">
            <v>TR</v>
          </cell>
          <cell r="D199">
            <v>6</v>
          </cell>
          <cell r="F199">
            <v>12</v>
          </cell>
          <cell r="G199">
            <v>30</v>
          </cell>
          <cell r="I199">
            <v>34</v>
          </cell>
          <cell r="L199">
            <v>181</v>
          </cell>
          <cell r="O199">
            <v>13</v>
          </cell>
          <cell r="R199">
            <v>54</v>
          </cell>
        </row>
        <row r="200">
          <cell r="B200" t="str">
            <v>Produksi</v>
          </cell>
          <cell r="C200" t="str">
            <v>(kuintal)</v>
          </cell>
          <cell r="D200">
            <v>63</v>
          </cell>
          <cell r="E200">
            <v>0</v>
          </cell>
          <cell r="F200">
            <v>36.68</v>
          </cell>
          <cell r="G200">
            <v>161.29</v>
          </cell>
          <cell r="H200">
            <v>100</v>
          </cell>
          <cell r="I200">
            <v>20.8</v>
          </cell>
          <cell r="J200">
            <v>160</v>
          </cell>
          <cell r="K200">
            <v>40</v>
          </cell>
          <cell r="L200">
            <v>71</v>
          </cell>
          <cell r="M200">
            <v>0</v>
          </cell>
          <cell r="N200">
            <v>63</v>
          </cell>
          <cell r="O200">
            <v>97</v>
          </cell>
          <cell r="P200">
            <v>225.45</v>
          </cell>
          <cell r="Q200">
            <v>9.06</v>
          </cell>
          <cell r="R200">
            <v>2841</v>
          </cell>
          <cell r="S200">
            <v>190</v>
          </cell>
          <cell r="T200">
            <v>13</v>
          </cell>
        </row>
        <row r="201">
          <cell r="B201" t="str">
            <v>Provitas</v>
          </cell>
          <cell r="C201" t="str">
            <v>(ku/pohon)</v>
          </cell>
          <cell r="D201">
            <v>7.0000000000000007E-2</v>
          </cell>
          <cell r="E201" t="e">
            <v>#DIV/0!</v>
          </cell>
          <cell r="F201">
            <v>6.9999999999999993E-2</v>
          </cell>
          <cell r="G201">
            <v>6.9973969631236435E-2</v>
          </cell>
          <cell r="H201">
            <v>0.19920318725099601</v>
          </cell>
          <cell r="I201">
            <v>6.9798657718120813E-2</v>
          </cell>
          <cell r="J201">
            <v>0.1</v>
          </cell>
          <cell r="K201">
            <v>9.1954022988505746E-2</v>
          </cell>
          <cell r="L201">
            <v>3.4855179185076093E-2</v>
          </cell>
          <cell r="M201" t="e">
            <v>#DIV/0!</v>
          </cell>
          <cell r="N201">
            <v>0.12</v>
          </cell>
          <cell r="O201">
            <v>0.5</v>
          </cell>
          <cell r="P201">
            <v>0.19236348122866892</v>
          </cell>
          <cell r="Q201">
            <v>3.0000000000000002E-2</v>
          </cell>
          <cell r="R201">
            <v>1.5</v>
          </cell>
          <cell r="S201">
            <v>0.2</v>
          </cell>
          <cell r="T201">
            <v>0.3611111111111111</v>
          </cell>
        </row>
        <row r="202">
          <cell r="B202" t="str">
            <v>Harga/kg</v>
          </cell>
          <cell r="C202" t="str">
            <v>Rupiah</v>
          </cell>
          <cell r="D202">
            <v>4000</v>
          </cell>
          <cell r="E202">
            <v>0</v>
          </cell>
          <cell r="F202">
            <v>10000</v>
          </cell>
          <cell r="G202">
            <v>6000</v>
          </cell>
          <cell r="H202">
            <v>4000</v>
          </cell>
          <cell r="I202">
            <v>4000</v>
          </cell>
          <cell r="J202">
            <v>6000</v>
          </cell>
          <cell r="K202">
            <v>7000</v>
          </cell>
          <cell r="L202">
            <v>5000</v>
          </cell>
          <cell r="M202">
            <v>0</v>
          </cell>
          <cell r="N202">
            <v>4000</v>
          </cell>
          <cell r="O202">
            <v>3500</v>
          </cell>
          <cell r="P202">
            <v>5000</v>
          </cell>
          <cell r="Q202">
            <v>4000</v>
          </cell>
          <cell r="R202">
            <v>4000</v>
          </cell>
          <cell r="S202">
            <v>4000</v>
          </cell>
          <cell r="T202">
            <v>5000</v>
          </cell>
        </row>
        <row r="203">
          <cell r="A203" t="str">
            <v>Pisang *)</v>
          </cell>
          <cell r="B203" t="str">
            <v>Tan Akhir Trw lalu</v>
          </cell>
          <cell r="C203" t="str">
            <v>Pohon/rumpun</v>
          </cell>
          <cell r="D203">
            <v>31470</v>
          </cell>
          <cell r="E203">
            <v>78937</v>
          </cell>
          <cell r="F203">
            <v>17166</v>
          </cell>
          <cell r="G203">
            <v>6265</v>
          </cell>
          <cell r="H203">
            <v>3019</v>
          </cell>
          <cell r="I203">
            <v>12142</v>
          </cell>
          <cell r="J203">
            <v>18200</v>
          </cell>
          <cell r="K203">
            <v>31550</v>
          </cell>
          <cell r="L203">
            <v>18114</v>
          </cell>
          <cell r="M203">
            <v>66590</v>
          </cell>
          <cell r="N203">
            <v>2350</v>
          </cell>
          <cell r="O203">
            <v>6520</v>
          </cell>
          <cell r="P203">
            <v>7404</v>
          </cell>
          <cell r="Q203">
            <v>1053</v>
          </cell>
          <cell r="R203">
            <v>1592</v>
          </cell>
          <cell r="S203">
            <v>5018</v>
          </cell>
          <cell r="T203">
            <v>615</v>
          </cell>
        </row>
        <row r="204">
          <cell r="B204" t="str">
            <v>Selama Triwulan</v>
          </cell>
          <cell r="C204" t="str">
            <v>Bongkar</v>
          </cell>
          <cell r="E204">
            <v>1780</v>
          </cell>
          <cell r="F204">
            <v>256</v>
          </cell>
          <cell r="G204">
            <v>2100</v>
          </cell>
          <cell r="H204">
            <v>51</v>
          </cell>
          <cell r="I204">
            <v>2285</v>
          </cell>
          <cell r="J204">
            <v>200</v>
          </cell>
          <cell r="K204">
            <v>100</v>
          </cell>
          <cell r="L204">
            <v>179</v>
          </cell>
          <cell r="M204">
            <v>8200</v>
          </cell>
          <cell r="O204">
            <v>1304</v>
          </cell>
          <cell r="P204">
            <v>230</v>
          </cell>
          <cell r="Q204">
            <v>42</v>
          </cell>
          <cell r="R204">
            <v>21</v>
          </cell>
          <cell r="T204">
            <v>4</v>
          </cell>
        </row>
        <row r="205">
          <cell r="C205" t="str">
            <v>Baru</v>
          </cell>
          <cell r="E205">
            <v>427</v>
          </cell>
          <cell r="F205">
            <v>89</v>
          </cell>
          <cell r="G205">
            <v>1800</v>
          </cell>
          <cell r="H205">
            <v>27</v>
          </cell>
          <cell r="I205">
            <v>1890</v>
          </cell>
          <cell r="K205">
            <v>50</v>
          </cell>
          <cell r="M205">
            <v>34000</v>
          </cell>
          <cell r="N205">
            <v>20</v>
          </cell>
          <cell r="R205">
            <v>150</v>
          </cell>
          <cell r="T205">
            <v>10</v>
          </cell>
        </row>
        <row r="206">
          <cell r="B206" t="str">
            <v xml:space="preserve">∑ Tanaman Akhir </v>
          </cell>
          <cell r="C206" t="str">
            <v>Pohon/rumpun</v>
          </cell>
          <cell r="D206">
            <v>31470</v>
          </cell>
          <cell r="E206">
            <v>77584</v>
          </cell>
          <cell r="F206">
            <v>16999</v>
          </cell>
          <cell r="G206">
            <v>5965</v>
          </cell>
          <cell r="H206">
            <v>2995</v>
          </cell>
          <cell r="I206">
            <v>11747</v>
          </cell>
          <cell r="J206">
            <v>18000</v>
          </cell>
          <cell r="K206">
            <v>31500</v>
          </cell>
          <cell r="L206">
            <v>17935</v>
          </cell>
          <cell r="M206">
            <v>92390</v>
          </cell>
          <cell r="N206">
            <v>2370</v>
          </cell>
          <cell r="O206">
            <v>5216</v>
          </cell>
          <cell r="P206">
            <v>7174</v>
          </cell>
          <cell r="Q206">
            <v>1011</v>
          </cell>
          <cell r="R206">
            <v>1721</v>
          </cell>
          <cell r="S206">
            <v>5018</v>
          </cell>
          <cell r="T206">
            <v>621</v>
          </cell>
        </row>
        <row r="207">
          <cell r="B207" t="str">
            <v>Di Akhir Triwulan</v>
          </cell>
          <cell r="C207" t="str">
            <v>TBM</v>
          </cell>
          <cell r="D207">
            <v>2856</v>
          </cell>
          <cell r="E207">
            <v>76226</v>
          </cell>
          <cell r="F207">
            <v>4321</v>
          </cell>
          <cell r="G207">
            <v>4020</v>
          </cell>
          <cell r="H207">
            <v>500</v>
          </cell>
          <cell r="I207">
            <v>9347</v>
          </cell>
          <cell r="K207">
            <v>250</v>
          </cell>
          <cell r="L207">
            <v>4706</v>
          </cell>
          <cell r="M207">
            <v>69446</v>
          </cell>
          <cell r="O207">
            <v>1043</v>
          </cell>
          <cell r="P207">
            <v>5918</v>
          </cell>
          <cell r="Q207">
            <v>300</v>
          </cell>
          <cell r="R207">
            <v>521</v>
          </cell>
          <cell r="S207">
            <v>1658</v>
          </cell>
          <cell r="T207">
            <v>120</v>
          </cell>
        </row>
        <row r="208">
          <cell r="C208" t="str">
            <v>TPSM</v>
          </cell>
          <cell r="D208">
            <v>28600</v>
          </cell>
          <cell r="E208">
            <v>1358</v>
          </cell>
          <cell r="F208">
            <v>12467</v>
          </cell>
          <cell r="G208">
            <v>1920</v>
          </cell>
          <cell r="H208">
            <v>1700</v>
          </cell>
          <cell r="I208">
            <v>2215</v>
          </cell>
          <cell r="J208">
            <v>18000</v>
          </cell>
          <cell r="K208">
            <v>31250</v>
          </cell>
          <cell r="L208">
            <v>12961</v>
          </cell>
          <cell r="M208">
            <v>22944</v>
          </cell>
          <cell r="N208">
            <v>320</v>
          </cell>
          <cell r="O208">
            <v>3912</v>
          </cell>
          <cell r="P208">
            <v>1235</v>
          </cell>
          <cell r="Q208">
            <v>500</v>
          </cell>
          <cell r="R208">
            <v>1182</v>
          </cell>
          <cell r="S208">
            <v>3360</v>
          </cell>
          <cell r="T208">
            <v>260</v>
          </cell>
        </row>
        <row r="209">
          <cell r="C209" t="str">
            <v>TPBM</v>
          </cell>
          <cell r="D209">
            <v>0</v>
          </cell>
          <cell r="E209">
            <v>0</v>
          </cell>
          <cell r="F209">
            <v>182</v>
          </cell>
          <cell r="G209">
            <v>0</v>
          </cell>
          <cell r="H209">
            <v>795</v>
          </cell>
          <cell r="I209">
            <v>105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2050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241</v>
          </cell>
        </row>
        <row r="210">
          <cell r="C210" t="str">
            <v>TR</v>
          </cell>
          <cell r="D210">
            <v>14</v>
          </cell>
          <cell r="F210">
            <v>29</v>
          </cell>
          <cell r="G210">
            <v>25</v>
          </cell>
          <cell r="I210">
            <v>80</v>
          </cell>
          <cell r="L210">
            <v>268</v>
          </cell>
          <cell r="O210">
            <v>261</v>
          </cell>
          <cell r="P210">
            <v>21</v>
          </cell>
          <cell r="Q210">
            <v>211</v>
          </cell>
          <cell r="R210">
            <v>18</v>
          </cell>
        </row>
        <row r="211">
          <cell r="B211" t="str">
            <v>Produksi</v>
          </cell>
          <cell r="C211" t="str">
            <v>(kuintal)</v>
          </cell>
          <cell r="D211">
            <v>1143</v>
          </cell>
          <cell r="E211">
            <v>475</v>
          </cell>
          <cell r="F211">
            <v>2244.06</v>
          </cell>
          <cell r="G211">
            <v>326.43</v>
          </cell>
          <cell r="H211">
            <v>129</v>
          </cell>
          <cell r="I211">
            <v>375.7</v>
          </cell>
          <cell r="J211">
            <v>2620</v>
          </cell>
          <cell r="K211">
            <v>4000</v>
          </cell>
          <cell r="L211">
            <v>775</v>
          </cell>
          <cell r="M211">
            <v>27532.799999999999</v>
          </cell>
          <cell r="N211">
            <v>164</v>
          </cell>
          <cell r="O211">
            <v>978</v>
          </cell>
          <cell r="P211">
            <v>144.76</v>
          </cell>
          <cell r="Q211">
            <v>25</v>
          </cell>
          <cell r="R211">
            <v>117.3</v>
          </cell>
          <cell r="S211">
            <v>1344</v>
          </cell>
          <cell r="T211">
            <v>32</v>
          </cell>
        </row>
        <row r="212">
          <cell r="B212" t="str">
            <v>Provitas</v>
          </cell>
          <cell r="C212" t="str">
            <v>(ku/pohon)</v>
          </cell>
          <cell r="D212">
            <v>3.9965034965034965E-2</v>
          </cell>
          <cell r="E212">
            <v>0.34977908689248893</v>
          </cell>
          <cell r="F212">
            <v>0.18</v>
          </cell>
          <cell r="G212">
            <v>0.170015625</v>
          </cell>
          <cell r="H212">
            <v>7.588235294117647E-2</v>
          </cell>
          <cell r="I212">
            <v>0.16961625282167042</v>
          </cell>
          <cell r="J212">
            <v>0.14555555555555555</v>
          </cell>
          <cell r="K212">
            <v>0.128</v>
          </cell>
          <cell r="L212">
            <v>5.9794768922151069E-2</v>
          </cell>
          <cell r="M212">
            <v>1.2</v>
          </cell>
          <cell r="N212">
            <v>0.51249999999999996</v>
          </cell>
          <cell r="O212">
            <v>0.25</v>
          </cell>
          <cell r="P212">
            <v>0.11721457489878542</v>
          </cell>
          <cell r="Q212">
            <v>0.05</v>
          </cell>
          <cell r="R212">
            <v>9.9238578680203041E-2</v>
          </cell>
          <cell r="S212">
            <v>0.4</v>
          </cell>
          <cell r="T212">
            <v>0.12307692307692308</v>
          </cell>
        </row>
        <row r="213">
          <cell r="B213" t="str">
            <v>Harga/kg</v>
          </cell>
          <cell r="C213" t="str">
            <v>Rupiah</v>
          </cell>
          <cell r="D213">
            <v>4000</v>
          </cell>
          <cell r="E213">
            <v>3000</v>
          </cell>
          <cell r="F213">
            <v>5000</v>
          </cell>
          <cell r="G213">
            <v>4000</v>
          </cell>
          <cell r="H213">
            <v>7500</v>
          </cell>
          <cell r="I213">
            <v>4000</v>
          </cell>
          <cell r="J213">
            <v>7000</v>
          </cell>
          <cell r="K213">
            <v>12000</v>
          </cell>
          <cell r="L213">
            <v>8000</v>
          </cell>
          <cell r="M213">
            <v>3000</v>
          </cell>
          <cell r="N213">
            <v>6000</v>
          </cell>
          <cell r="O213">
            <v>5000</v>
          </cell>
          <cell r="P213">
            <v>7000</v>
          </cell>
          <cell r="Q213">
            <v>3600</v>
          </cell>
          <cell r="R213">
            <v>5000</v>
          </cell>
          <cell r="S213">
            <v>6000</v>
          </cell>
          <cell r="T213">
            <v>6000</v>
          </cell>
        </row>
        <row r="214">
          <cell r="A214" t="str">
            <v>Rambutan</v>
          </cell>
          <cell r="B214" t="str">
            <v>Tan Akhir Trw lalu</v>
          </cell>
          <cell r="C214" t="str">
            <v>Pohon/rumpun</v>
          </cell>
          <cell r="D214">
            <v>9550</v>
          </cell>
          <cell r="E214">
            <v>1100</v>
          </cell>
          <cell r="F214">
            <v>2161</v>
          </cell>
          <cell r="G214">
            <v>8407</v>
          </cell>
          <cell r="H214">
            <v>3695</v>
          </cell>
          <cell r="I214">
            <v>6576</v>
          </cell>
          <cell r="J214">
            <v>0</v>
          </cell>
          <cell r="K214">
            <v>190</v>
          </cell>
          <cell r="L214">
            <v>6331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6</v>
          </cell>
          <cell r="S214">
            <v>51</v>
          </cell>
          <cell r="T214">
            <v>0</v>
          </cell>
        </row>
        <row r="215">
          <cell r="B215" t="str">
            <v>Selama Triwulan</v>
          </cell>
          <cell r="C215" t="str">
            <v>Bongkar</v>
          </cell>
          <cell r="F215">
            <v>7</v>
          </cell>
          <cell r="G215">
            <v>65</v>
          </cell>
          <cell r="H215">
            <v>15</v>
          </cell>
          <cell r="I215">
            <v>20</v>
          </cell>
          <cell r="K215">
            <v>10</v>
          </cell>
          <cell r="L215">
            <v>242</v>
          </cell>
        </row>
        <row r="216">
          <cell r="C216" t="str">
            <v>Baru</v>
          </cell>
          <cell r="G216">
            <v>2</v>
          </cell>
        </row>
        <row r="217">
          <cell r="B217" t="str">
            <v xml:space="preserve">∑ Tanaman Akhir </v>
          </cell>
          <cell r="C217" t="str">
            <v>Pohon/rumpun</v>
          </cell>
          <cell r="D217">
            <v>9550</v>
          </cell>
          <cell r="E217">
            <v>1100</v>
          </cell>
          <cell r="F217">
            <v>2154</v>
          </cell>
          <cell r="G217">
            <v>8344</v>
          </cell>
          <cell r="H217">
            <v>3680</v>
          </cell>
          <cell r="I217">
            <v>6556</v>
          </cell>
          <cell r="J217">
            <v>0</v>
          </cell>
          <cell r="K217">
            <v>180</v>
          </cell>
          <cell r="L217">
            <v>6089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6</v>
          </cell>
          <cell r="S217">
            <v>51</v>
          </cell>
          <cell r="T217">
            <v>0</v>
          </cell>
        </row>
        <row r="218">
          <cell r="B218" t="str">
            <v>Di Akhir Triwulan</v>
          </cell>
          <cell r="C218" t="str">
            <v>TBM</v>
          </cell>
          <cell r="D218">
            <v>3982</v>
          </cell>
          <cell r="E218">
            <v>850</v>
          </cell>
          <cell r="F218">
            <v>854</v>
          </cell>
          <cell r="G218">
            <v>2000</v>
          </cell>
          <cell r="H218">
            <v>87</v>
          </cell>
          <cell r="I218">
            <v>699</v>
          </cell>
          <cell r="K218">
            <v>40</v>
          </cell>
          <cell r="L218">
            <v>5962</v>
          </cell>
          <cell r="S218">
            <v>51</v>
          </cell>
        </row>
        <row r="219">
          <cell r="C219" t="str">
            <v>TPSM</v>
          </cell>
          <cell r="D219">
            <v>5550</v>
          </cell>
          <cell r="F219">
            <v>1182</v>
          </cell>
          <cell r="H219">
            <v>760</v>
          </cell>
          <cell r="K219">
            <v>140</v>
          </cell>
          <cell r="L219">
            <v>48</v>
          </cell>
        </row>
        <row r="220">
          <cell r="C220" t="str">
            <v>TPBM</v>
          </cell>
          <cell r="D220">
            <v>0</v>
          </cell>
          <cell r="E220">
            <v>250</v>
          </cell>
          <cell r="F220">
            <v>111</v>
          </cell>
          <cell r="G220">
            <v>6330</v>
          </cell>
          <cell r="H220">
            <v>2833</v>
          </cell>
          <cell r="I220">
            <v>5837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6</v>
          </cell>
          <cell r="S220">
            <v>0</v>
          </cell>
          <cell r="T220">
            <v>0</v>
          </cell>
        </row>
        <row r="221">
          <cell r="C221" t="str">
            <v>TR</v>
          </cell>
          <cell r="D221">
            <v>18</v>
          </cell>
          <cell r="F221">
            <v>7</v>
          </cell>
          <cell r="G221">
            <v>14</v>
          </cell>
          <cell r="I221">
            <v>20</v>
          </cell>
          <cell r="L221">
            <v>79</v>
          </cell>
        </row>
        <row r="222">
          <cell r="B222" t="str">
            <v>Produksi</v>
          </cell>
          <cell r="C222" t="str">
            <v>(kuintal)</v>
          </cell>
          <cell r="D222">
            <v>665</v>
          </cell>
          <cell r="E222">
            <v>0</v>
          </cell>
          <cell r="F222">
            <v>295.5</v>
          </cell>
          <cell r="G222">
            <v>0</v>
          </cell>
          <cell r="H222">
            <v>570</v>
          </cell>
          <cell r="I222">
            <v>0</v>
          </cell>
          <cell r="J222">
            <v>0</v>
          </cell>
          <cell r="K222">
            <v>40</v>
          </cell>
          <cell r="L222">
            <v>9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B223" t="str">
            <v>Provitas</v>
          </cell>
          <cell r="C223" t="str">
            <v>(ku/pohon)</v>
          </cell>
          <cell r="D223">
            <v>0.11981981981981982</v>
          </cell>
          <cell r="E223" t="e">
            <v>#DIV/0!</v>
          </cell>
          <cell r="F223">
            <v>0.25</v>
          </cell>
          <cell r="G223" t="e">
            <v>#DIV/0!</v>
          </cell>
          <cell r="H223">
            <v>0.75</v>
          </cell>
          <cell r="I223" t="e">
            <v>#DIV/0!</v>
          </cell>
          <cell r="J223" t="e">
            <v>#DIV/0!</v>
          </cell>
          <cell r="K223">
            <v>0.2857142857142857</v>
          </cell>
          <cell r="L223">
            <v>0.1875</v>
          </cell>
          <cell r="M223" t="e">
            <v>#DIV/0!</v>
          </cell>
          <cell r="N223" t="e">
            <v>#DIV/0!</v>
          </cell>
          <cell r="O223" t="e">
            <v>#DIV/0!</v>
          </cell>
          <cell r="P223" t="e">
            <v>#DIV/0!</v>
          </cell>
          <cell r="Q223" t="e">
            <v>#DIV/0!</v>
          </cell>
          <cell r="R223" t="e">
            <v>#DIV/0!</v>
          </cell>
          <cell r="S223" t="e">
            <v>#DIV/0!</v>
          </cell>
          <cell r="T223" t="e">
            <v>#DIV/0!</v>
          </cell>
        </row>
        <row r="224">
          <cell r="B224" t="str">
            <v>Harga/kg</v>
          </cell>
          <cell r="C224" t="str">
            <v>Rupiah</v>
          </cell>
          <cell r="D224">
            <v>4000</v>
          </cell>
          <cell r="E224">
            <v>0</v>
          </cell>
          <cell r="F224">
            <v>15000</v>
          </cell>
          <cell r="G224">
            <v>0</v>
          </cell>
          <cell r="H224">
            <v>2500</v>
          </cell>
          <cell r="I224">
            <v>0</v>
          </cell>
          <cell r="J224">
            <v>0</v>
          </cell>
          <cell r="K224">
            <v>20000</v>
          </cell>
          <cell r="L224">
            <v>9000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 t="str">
            <v>Salak *)</v>
          </cell>
          <cell r="B225" t="str">
            <v>Tan Akhir Trw lalu</v>
          </cell>
          <cell r="C225" t="str">
            <v>Pohon/rumpun</v>
          </cell>
          <cell r="D225">
            <v>1490</v>
          </cell>
          <cell r="E225">
            <v>3764</v>
          </cell>
          <cell r="F225">
            <v>6</v>
          </cell>
          <cell r="G225">
            <v>5818</v>
          </cell>
          <cell r="H225">
            <v>1281</v>
          </cell>
          <cell r="I225">
            <v>246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B226" t="str">
            <v>Selama Triwulan</v>
          </cell>
          <cell r="C226" t="str">
            <v>Bongkar</v>
          </cell>
          <cell r="G226">
            <v>20</v>
          </cell>
          <cell r="I226">
            <v>35</v>
          </cell>
        </row>
        <row r="227">
          <cell r="C227" t="str">
            <v>Baru</v>
          </cell>
        </row>
        <row r="228">
          <cell r="B228" t="str">
            <v xml:space="preserve">∑ Tanaman Akhir </v>
          </cell>
          <cell r="C228" t="str">
            <v>Pohon/rumpun</v>
          </cell>
          <cell r="D228">
            <v>1490</v>
          </cell>
          <cell r="E228">
            <v>3764</v>
          </cell>
          <cell r="F228">
            <v>6</v>
          </cell>
          <cell r="G228">
            <v>5798</v>
          </cell>
          <cell r="H228">
            <v>1281</v>
          </cell>
          <cell r="I228">
            <v>211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B229" t="str">
            <v>Di Akhir Triwulan</v>
          </cell>
          <cell r="C229" t="str">
            <v>TBM</v>
          </cell>
          <cell r="D229">
            <v>44</v>
          </cell>
          <cell r="E229">
            <v>2250</v>
          </cell>
          <cell r="G229">
            <v>1115</v>
          </cell>
          <cell r="I229">
            <v>5</v>
          </cell>
        </row>
        <row r="230">
          <cell r="C230" t="str">
            <v>TPSM</v>
          </cell>
          <cell r="D230">
            <v>1440</v>
          </cell>
          <cell r="F230">
            <v>4</v>
          </cell>
          <cell r="G230">
            <v>1650</v>
          </cell>
          <cell r="I230">
            <v>25</v>
          </cell>
        </row>
        <row r="231">
          <cell r="C231" t="str">
            <v>TPBM</v>
          </cell>
          <cell r="D231">
            <v>0</v>
          </cell>
          <cell r="E231">
            <v>1514</v>
          </cell>
          <cell r="F231">
            <v>0</v>
          </cell>
          <cell r="G231">
            <v>3007</v>
          </cell>
          <cell r="H231">
            <v>1281</v>
          </cell>
          <cell r="I231">
            <v>146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C232" t="str">
            <v>TR</v>
          </cell>
          <cell r="D232">
            <v>6</v>
          </cell>
          <cell r="F232">
            <v>2</v>
          </cell>
          <cell r="G232">
            <v>26</v>
          </cell>
          <cell r="I232">
            <v>35</v>
          </cell>
        </row>
        <row r="233">
          <cell r="B233" t="str">
            <v>Produksi</v>
          </cell>
          <cell r="C233" t="str">
            <v>(kuintal)</v>
          </cell>
          <cell r="D233">
            <v>115</v>
          </cell>
          <cell r="E233">
            <v>0</v>
          </cell>
          <cell r="F233">
            <v>0.8</v>
          </cell>
          <cell r="G233">
            <v>65.739999999999995</v>
          </cell>
          <cell r="H233">
            <v>0</v>
          </cell>
          <cell r="I233">
            <v>1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B234" t="str">
            <v>Provitas</v>
          </cell>
          <cell r="C234" t="str">
            <v>(ku/pohon)</v>
          </cell>
          <cell r="D234">
            <v>7.9861111111111105E-2</v>
          </cell>
          <cell r="E234" t="e">
            <v>#DIV/0!</v>
          </cell>
          <cell r="F234">
            <v>0.2</v>
          </cell>
          <cell r="G234">
            <v>3.9842424242424242E-2</v>
          </cell>
          <cell r="H234" t="e">
            <v>#DIV/0!</v>
          </cell>
          <cell r="I234">
            <v>0.04</v>
          </cell>
          <cell r="J234" t="e">
            <v>#DIV/0!</v>
          </cell>
          <cell r="K234" t="e">
            <v>#DIV/0!</v>
          </cell>
          <cell r="L234" t="e">
            <v>#DIV/0!</v>
          </cell>
          <cell r="M234" t="e">
            <v>#DIV/0!</v>
          </cell>
          <cell r="N234" t="e">
            <v>#DIV/0!</v>
          </cell>
          <cell r="O234" t="e">
            <v>#DIV/0!</v>
          </cell>
          <cell r="P234" t="e">
            <v>#DIV/0!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</row>
        <row r="235">
          <cell r="B235" t="str">
            <v>Harga/kg</v>
          </cell>
          <cell r="C235" t="str">
            <v>Rupiah</v>
          </cell>
          <cell r="D235">
            <v>6000</v>
          </cell>
          <cell r="E235">
            <v>0</v>
          </cell>
          <cell r="F235">
            <v>10000</v>
          </cell>
          <cell r="G235">
            <v>6000</v>
          </cell>
          <cell r="H235">
            <v>0</v>
          </cell>
          <cell r="I235">
            <v>6000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 t="str">
            <v>Sawo</v>
          </cell>
          <cell r="B236" t="str">
            <v>Tan Akhir Trw lalu</v>
          </cell>
          <cell r="C236" t="str">
            <v>Pohon/rumpun</v>
          </cell>
          <cell r="D236">
            <v>450</v>
          </cell>
          <cell r="E236">
            <v>750</v>
          </cell>
          <cell r="F236">
            <v>175</v>
          </cell>
          <cell r="G236">
            <v>801</v>
          </cell>
          <cell r="H236">
            <v>95</v>
          </cell>
          <cell r="I236">
            <v>484</v>
          </cell>
          <cell r="J236">
            <v>1070</v>
          </cell>
          <cell r="K236">
            <v>90</v>
          </cell>
          <cell r="L236">
            <v>2429</v>
          </cell>
          <cell r="M236">
            <v>10035</v>
          </cell>
          <cell r="N236">
            <v>115</v>
          </cell>
          <cell r="O236">
            <v>76</v>
          </cell>
          <cell r="P236">
            <v>131</v>
          </cell>
          <cell r="Q236">
            <v>297</v>
          </cell>
          <cell r="R236">
            <v>108</v>
          </cell>
          <cell r="S236">
            <v>926</v>
          </cell>
          <cell r="T236">
            <v>66</v>
          </cell>
        </row>
        <row r="237">
          <cell r="B237" t="str">
            <v>Selama Triwulan</v>
          </cell>
          <cell r="C237" t="str">
            <v>Bongkar</v>
          </cell>
          <cell r="F237">
            <v>13</v>
          </cell>
          <cell r="G237">
            <v>8</v>
          </cell>
          <cell r="I237">
            <v>15</v>
          </cell>
          <cell r="J237">
            <v>20</v>
          </cell>
          <cell r="K237">
            <v>10</v>
          </cell>
          <cell r="L237">
            <v>93</v>
          </cell>
          <cell r="M237">
            <v>17</v>
          </cell>
          <cell r="O237">
            <v>16</v>
          </cell>
          <cell r="P237">
            <v>3</v>
          </cell>
        </row>
        <row r="238">
          <cell r="C238" t="str">
            <v>Baru</v>
          </cell>
        </row>
        <row r="239">
          <cell r="B239" t="str">
            <v xml:space="preserve">∑ Tanaman Akhir </v>
          </cell>
          <cell r="C239" t="str">
            <v>Pohon/rumpun</v>
          </cell>
          <cell r="D239">
            <v>450</v>
          </cell>
          <cell r="E239">
            <v>750</v>
          </cell>
          <cell r="F239">
            <v>162</v>
          </cell>
          <cell r="G239">
            <v>793</v>
          </cell>
          <cell r="H239">
            <v>95</v>
          </cell>
          <cell r="I239">
            <v>469</v>
          </cell>
          <cell r="J239">
            <v>1050</v>
          </cell>
          <cell r="K239">
            <v>80</v>
          </cell>
          <cell r="L239">
            <v>2336</v>
          </cell>
          <cell r="M239">
            <v>10018</v>
          </cell>
          <cell r="N239">
            <v>115</v>
          </cell>
          <cell r="O239">
            <v>60</v>
          </cell>
          <cell r="P239">
            <v>128</v>
          </cell>
          <cell r="Q239">
            <v>297</v>
          </cell>
          <cell r="R239">
            <v>108</v>
          </cell>
          <cell r="S239">
            <v>926</v>
          </cell>
          <cell r="T239">
            <v>66</v>
          </cell>
        </row>
        <row r="240">
          <cell r="B240" t="str">
            <v>Di Akhir Triwulan</v>
          </cell>
          <cell r="C240" t="str">
            <v>TBM</v>
          </cell>
          <cell r="D240">
            <v>96</v>
          </cell>
          <cell r="E240">
            <v>115</v>
          </cell>
          <cell r="F240">
            <v>32</v>
          </cell>
          <cell r="G240">
            <v>271</v>
          </cell>
          <cell r="I240">
            <v>100</v>
          </cell>
          <cell r="K240">
            <v>10</v>
          </cell>
          <cell r="L240">
            <v>1161</v>
          </cell>
          <cell r="M240">
            <v>310</v>
          </cell>
          <cell r="N240">
            <v>115</v>
          </cell>
          <cell r="O240">
            <v>12</v>
          </cell>
          <cell r="P240">
            <v>19</v>
          </cell>
          <cell r="Q240">
            <v>110</v>
          </cell>
          <cell r="R240">
            <v>85</v>
          </cell>
          <cell r="S240">
            <v>166</v>
          </cell>
          <cell r="T240">
            <v>66</v>
          </cell>
        </row>
        <row r="241">
          <cell r="C241" t="str">
            <v>TPSM</v>
          </cell>
          <cell r="D241">
            <v>350</v>
          </cell>
          <cell r="E241">
            <v>125</v>
          </cell>
          <cell r="F241">
            <v>72</v>
          </cell>
          <cell r="G241">
            <v>320</v>
          </cell>
          <cell r="I241">
            <v>82</v>
          </cell>
          <cell r="J241">
            <v>1050</v>
          </cell>
          <cell r="K241">
            <v>70</v>
          </cell>
          <cell r="L241">
            <v>1123</v>
          </cell>
          <cell r="M241">
            <v>9708</v>
          </cell>
          <cell r="O241">
            <v>45</v>
          </cell>
          <cell r="P241">
            <v>109</v>
          </cell>
          <cell r="Q241">
            <v>187</v>
          </cell>
          <cell r="R241">
            <v>23</v>
          </cell>
          <cell r="S241">
            <v>760</v>
          </cell>
        </row>
        <row r="242">
          <cell r="C242" t="str">
            <v>TPBM</v>
          </cell>
          <cell r="D242">
            <v>0</v>
          </cell>
          <cell r="E242">
            <v>510</v>
          </cell>
          <cell r="F242">
            <v>42</v>
          </cell>
          <cell r="G242">
            <v>194</v>
          </cell>
          <cell r="H242">
            <v>95</v>
          </cell>
          <cell r="I242">
            <v>272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C243" t="str">
            <v>TR</v>
          </cell>
          <cell r="D243">
            <v>4</v>
          </cell>
          <cell r="F243">
            <v>16</v>
          </cell>
          <cell r="G243">
            <v>8</v>
          </cell>
          <cell r="I243">
            <v>15</v>
          </cell>
          <cell r="L243">
            <v>52</v>
          </cell>
          <cell r="O243">
            <v>3</v>
          </cell>
        </row>
        <row r="244">
          <cell r="B244" t="str">
            <v>Produksi</v>
          </cell>
          <cell r="C244" t="str">
            <v>(kuintal)</v>
          </cell>
          <cell r="D244">
            <v>35</v>
          </cell>
          <cell r="E244">
            <v>38</v>
          </cell>
          <cell r="F244">
            <v>18</v>
          </cell>
          <cell r="G244">
            <v>92.93</v>
          </cell>
          <cell r="H244">
            <v>0</v>
          </cell>
          <cell r="I244">
            <v>23.8</v>
          </cell>
          <cell r="J244">
            <v>220</v>
          </cell>
          <cell r="K244">
            <v>30</v>
          </cell>
          <cell r="L244">
            <v>194</v>
          </cell>
          <cell r="M244">
            <v>436.83</v>
          </cell>
          <cell r="N244">
            <v>0</v>
          </cell>
          <cell r="O244">
            <v>36</v>
          </cell>
          <cell r="P244">
            <v>53.91</v>
          </cell>
          <cell r="Q244">
            <v>3.74</v>
          </cell>
          <cell r="R244">
            <v>0.23</v>
          </cell>
          <cell r="S244">
            <v>228</v>
          </cell>
          <cell r="T244">
            <v>0</v>
          </cell>
        </row>
        <row r="245">
          <cell r="B245" t="str">
            <v>Provitas</v>
          </cell>
          <cell r="C245" t="str">
            <v>(ku/pohon)</v>
          </cell>
          <cell r="D245">
            <v>0.1</v>
          </cell>
          <cell r="E245">
            <v>0.30399999999999999</v>
          </cell>
          <cell r="F245">
            <v>0.25</v>
          </cell>
          <cell r="G245">
            <v>0.29040625000000003</v>
          </cell>
          <cell r="H245" t="e">
            <v>#DIV/0!</v>
          </cell>
          <cell r="I245">
            <v>0.29024390243902443</v>
          </cell>
          <cell r="J245">
            <v>0.20952380952380953</v>
          </cell>
          <cell r="K245">
            <v>0.42857142857142855</v>
          </cell>
          <cell r="L245">
            <v>0.17275155832591274</v>
          </cell>
          <cell r="M245">
            <v>4.4996909765142153E-2</v>
          </cell>
          <cell r="N245" t="e">
            <v>#DIV/0!</v>
          </cell>
          <cell r="O245">
            <v>0.8</v>
          </cell>
          <cell r="P245">
            <v>0.49458715596330272</v>
          </cell>
          <cell r="Q245">
            <v>0.02</v>
          </cell>
          <cell r="R245">
            <v>0.01</v>
          </cell>
          <cell r="S245">
            <v>0.3</v>
          </cell>
          <cell r="T245" t="e">
            <v>#DIV/0!</v>
          </cell>
        </row>
        <row r="246">
          <cell r="B246" t="str">
            <v>Harga/kg</v>
          </cell>
          <cell r="C246" t="str">
            <v>Rupiah</v>
          </cell>
          <cell r="D246">
            <v>5000</v>
          </cell>
          <cell r="E246">
            <v>10000</v>
          </cell>
          <cell r="F246">
            <v>20000</v>
          </cell>
          <cell r="G246">
            <v>10000</v>
          </cell>
          <cell r="H246">
            <v>0</v>
          </cell>
          <cell r="I246">
            <v>10000</v>
          </cell>
          <cell r="J246">
            <v>9000</v>
          </cell>
          <cell r="K246">
            <v>10000</v>
          </cell>
          <cell r="L246">
            <v>6000</v>
          </cell>
          <cell r="M246">
            <v>12000</v>
          </cell>
          <cell r="N246">
            <v>0</v>
          </cell>
          <cell r="O246">
            <v>5000</v>
          </cell>
          <cell r="P246">
            <v>12000</v>
          </cell>
          <cell r="Q246">
            <v>7000</v>
          </cell>
          <cell r="R246">
            <v>8000</v>
          </cell>
          <cell r="S246">
            <v>4000</v>
          </cell>
          <cell r="T246">
            <v>0</v>
          </cell>
        </row>
        <row r="247">
          <cell r="A247" t="str">
            <v>Sirsak</v>
          </cell>
          <cell r="B247" t="str">
            <v>Tan Akhir Trw lalu</v>
          </cell>
          <cell r="C247" t="str">
            <v>Pohon/rumpun</v>
          </cell>
          <cell r="D247">
            <v>825</v>
          </cell>
          <cell r="E247">
            <v>1125</v>
          </cell>
          <cell r="F247">
            <v>210</v>
          </cell>
          <cell r="G247">
            <v>954</v>
          </cell>
          <cell r="H247">
            <v>787</v>
          </cell>
          <cell r="I247">
            <v>434</v>
          </cell>
          <cell r="J247">
            <v>0</v>
          </cell>
          <cell r="K247">
            <v>0</v>
          </cell>
          <cell r="L247">
            <v>3769</v>
          </cell>
          <cell r="M247">
            <v>0</v>
          </cell>
          <cell r="N247">
            <v>100</v>
          </cell>
          <cell r="O247">
            <v>13</v>
          </cell>
          <cell r="P247">
            <v>0</v>
          </cell>
          <cell r="Q247">
            <v>76</v>
          </cell>
          <cell r="R247">
            <v>31</v>
          </cell>
          <cell r="S247">
            <v>0</v>
          </cell>
          <cell r="T247">
            <v>0</v>
          </cell>
        </row>
        <row r="248">
          <cell r="B248" t="str">
            <v>Selama Triwulan</v>
          </cell>
          <cell r="C248" t="str">
            <v>Bongkar</v>
          </cell>
          <cell r="F248">
            <v>13</v>
          </cell>
          <cell r="G248">
            <v>18</v>
          </cell>
          <cell r="I248">
            <v>8</v>
          </cell>
          <cell r="L248">
            <v>126</v>
          </cell>
          <cell r="O248">
            <v>3</v>
          </cell>
        </row>
        <row r="249">
          <cell r="C249" t="str">
            <v>Baru</v>
          </cell>
        </row>
        <row r="250">
          <cell r="B250" t="str">
            <v xml:space="preserve">∑ Tanaman Akhir </v>
          </cell>
          <cell r="C250" t="str">
            <v>Pohon/rumpun</v>
          </cell>
          <cell r="D250">
            <v>825</v>
          </cell>
          <cell r="E250">
            <v>1125</v>
          </cell>
          <cell r="F250">
            <v>197</v>
          </cell>
          <cell r="G250">
            <v>936</v>
          </cell>
          <cell r="H250">
            <v>787</v>
          </cell>
          <cell r="I250">
            <v>426</v>
          </cell>
          <cell r="J250">
            <v>0</v>
          </cell>
          <cell r="K250">
            <v>0</v>
          </cell>
          <cell r="L250">
            <v>3643</v>
          </cell>
          <cell r="M250">
            <v>0</v>
          </cell>
          <cell r="N250">
            <v>100</v>
          </cell>
          <cell r="O250">
            <v>10</v>
          </cell>
          <cell r="P250">
            <v>0</v>
          </cell>
          <cell r="Q250">
            <v>76</v>
          </cell>
          <cell r="R250">
            <v>31</v>
          </cell>
          <cell r="S250">
            <v>0</v>
          </cell>
          <cell r="T250">
            <v>0</v>
          </cell>
        </row>
        <row r="251">
          <cell r="B251" t="str">
            <v>Di Akhir Triwulan</v>
          </cell>
          <cell r="C251" t="str">
            <v>TBM</v>
          </cell>
          <cell r="D251">
            <v>146</v>
          </cell>
          <cell r="E251">
            <v>225</v>
          </cell>
          <cell r="F251">
            <v>87</v>
          </cell>
          <cell r="G251">
            <v>290</v>
          </cell>
          <cell r="H251">
            <v>500</v>
          </cell>
          <cell r="I251">
            <v>100</v>
          </cell>
          <cell r="L251">
            <v>2103</v>
          </cell>
          <cell r="N251">
            <v>75</v>
          </cell>
          <cell r="O251">
            <v>2</v>
          </cell>
          <cell r="Q251">
            <v>26</v>
          </cell>
          <cell r="R251">
            <v>18</v>
          </cell>
        </row>
        <row r="252">
          <cell r="C252" t="str">
            <v>TPSM</v>
          </cell>
          <cell r="D252">
            <v>675</v>
          </cell>
          <cell r="E252">
            <v>154</v>
          </cell>
          <cell r="F252">
            <v>84</v>
          </cell>
          <cell r="G252">
            <v>130</v>
          </cell>
          <cell r="H252">
            <v>115</v>
          </cell>
          <cell r="I252">
            <v>82</v>
          </cell>
          <cell r="L252">
            <v>1446</v>
          </cell>
          <cell r="N252">
            <v>25</v>
          </cell>
          <cell r="O252">
            <v>8</v>
          </cell>
          <cell r="Q252">
            <v>50</v>
          </cell>
          <cell r="R252">
            <v>13</v>
          </cell>
        </row>
        <row r="253">
          <cell r="C253" t="str">
            <v>TPBM</v>
          </cell>
          <cell r="D253">
            <v>0</v>
          </cell>
          <cell r="E253">
            <v>746</v>
          </cell>
          <cell r="F253">
            <v>21</v>
          </cell>
          <cell r="G253">
            <v>508</v>
          </cell>
          <cell r="H253">
            <v>172</v>
          </cell>
          <cell r="I253">
            <v>229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C254" t="str">
            <v>TR</v>
          </cell>
          <cell r="D254">
            <v>4</v>
          </cell>
          <cell r="F254">
            <v>5</v>
          </cell>
          <cell r="G254">
            <v>8</v>
          </cell>
          <cell r="I254">
            <v>15</v>
          </cell>
          <cell r="L254">
            <v>94</v>
          </cell>
        </row>
        <row r="255">
          <cell r="B255" t="str">
            <v>Produksi</v>
          </cell>
          <cell r="C255" t="str">
            <v>(kuintal)</v>
          </cell>
          <cell r="D255">
            <v>54</v>
          </cell>
          <cell r="E255">
            <v>31</v>
          </cell>
          <cell r="F255">
            <v>11.76</v>
          </cell>
          <cell r="G255">
            <v>10.43</v>
          </cell>
          <cell r="H255">
            <v>63</v>
          </cell>
          <cell r="I255">
            <v>23.8</v>
          </cell>
          <cell r="J255">
            <v>0</v>
          </cell>
          <cell r="K255">
            <v>0</v>
          </cell>
          <cell r="L255">
            <v>122</v>
          </cell>
          <cell r="M255">
            <v>0</v>
          </cell>
          <cell r="N255">
            <v>1.25</v>
          </cell>
          <cell r="O255">
            <v>1.56</v>
          </cell>
          <cell r="P255">
            <v>0</v>
          </cell>
          <cell r="Q255">
            <v>1.5</v>
          </cell>
          <cell r="R255">
            <v>0.03</v>
          </cell>
          <cell r="S255">
            <v>0</v>
          </cell>
          <cell r="T255">
            <v>0</v>
          </cell>
        </row>
        <row r="256">
          <cell r="B256" t="str">
            <v>Provitas</v>
          </cell>
          <cell r="C256" t="str">
            <v>(ku/pohon)</v>
          </cell>
          <cell r="D256">
            <v>0.08</v>
          </cell>
          <cell r="E256">
            <v>0.20129870129870131</v>
          </cell>
          <cell r="F256">
            <v>0.13999999999999999</v>
          </cell>
          <cell r="G256">
            <v>8.0230769230769231E-2</v>
          </cell>
          <cell r="H256">
            <v>0.54782608695652169</v>
          </cell>
          <cell r="I256">
            <v>0.29024390243902443</v>
          </cell>
          <cell r="J256" t="e">
            <v>#DIV/0!</v>
          </cell>
          <cell r="K256" t="e">
            <v>#DIV/0!</v>
          </cell>
          <cell r="L256">
            <v>8.4370677731673588E-2</v>
          </cell>
          <cell r="M256" t="e">
            <v>#DIV/0!</v>
          </cell>
          <cell r="N256">
            <v>0.05</v>
          </cell>
          <cell r="O256">
            <v>0.19500000000000001</v>
          </cell>
          <cell r="P256" t="e">
            <v>#DIV/0!</v>
          </cell>
          <cell r="Q256">
            <v>0.03</v>
          </cell>
          <cell r="R256">
            <v>2.3076923076923075E-3</v>
          </cell>
          <cell r="S256" t="e">
            <v>#DIV/0!</v>
          </cell>
          <cell r="T256" t="e">
            <v>#DIV/0!</v>
          </cell>
        </row>
        <row r="257">
          <cell r="B257" t="str">
            <v>Harga/kg</v>
          </cell>
          <cell r="C257" t="str">
            <v>Rupiah</v>
          </cell>
          <cell r="D257">
            <v>4000</v>
          </cell>
          <cell r="E257">
            <v>11000</v>
          </cell>
          <cell r="F257">
            <v>10000</v>
          </cell>
          <cell r="G257">
            <v>10000</v>
          </cell>
          <cell r="H257">
            <v>5000</v>
          </cell>
          <cell r="I257">
            <v>10000</v>
          </cell>
          <cell r="J257">
            <v>0</v>
          </cell>
          <cell r="K257">
            <v>0</v>
          </cell>
          <cell r="L257">
            <v>5000</v>
          </cell>
          <cell r="M257">
            <v>0</v>
          </cell>
          <cell r="N257">
            <v>8000</v>
          </cell>
          <cell r="O257">
            <v>7500</v>
          </cell>
          <cell r="P257">
            <v>0</v>
          </cell>
          <cell r="Q257">
            <v>7000</v>
          </cell>
          <cell r="R257">
            <v>9000</v>
          </cell>
          <cell r="S257">
            <v>0</v>
          </cell>
          <cell r="T257">
            <v>0</v>
          </cell>
        </row>
        <row r="258">
          <cell r="A258" t="str">
            <v>Sukun</v>
          </cell>
          <cell r="B258" t="str">
            <v>Tan Akhir Trw lalu</v>
          </cell>
          <cell r="C258" t="str">
            <v>Pohon/rumpun</v>
          </cell>
          <cell r="D258">
            <v>1400</v>
          </cell>
          <cell r="E258">
            <v>142</v>
          </cell>
          <cell r="F258">
            <v>206</v>
          </cell>
          <cell r="G258">
            <v>1393</v>
          </cell>
          <cell r="H258">
            <v>181</v>
          </cell>
          <cell r="I258">
            <v>6279</v>
          </cell>
          <cell r="J258">
            <v>0</v>
          </cell>
          <cell r="K258">
            <v>6880</v>
          </cell>
          <cell r="L258">
            <v>23</v>
          </cell>
          <cell r="M258">
            <v>657</v>
          </cell>
          <cell r="N258">
            <v>70</v>
          </cell>
          <cell r="O258">
            <v>15</v>
          </cell>
          <cell r="P258">
            <v>88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B259" t="str">
            <v>Selama Triwulan</v>
          </cell>
          <cell r="C259" t="str">
            <v>Bongkar</v>
          </cell>
          <cell r="F259">
            <v>10</v>
          </cell>
          <cell r="G259">
            <v>14</v>
          </cell>
          <cell r="I259">
            <v>105</v>
          </cell>
          <cell r="K259">
            <v>80</v>
          </cell>
          <cell r="M259">
            <v>45</v>
          </cell>
          <cell r="O259">
            <v>3</v>
          </cell>
          <cell r="P259">
            <v>12</v>
          </cell>
        </row>
        <row r="260">
          <cell r="C260" t="str">
            <v>Baru</v>
          </cell>
        </row>
        <row r="261">
          <cell r="B261" t="str">
            <v xml:space="preserve">∑ Tanaman Akhir </v>
          </cell>
          <cell r="C261" t="str">
            <v>Pohon/rumpun</v>
          </cell>
          <cell r="D261">
            <v>1400</v>
          </cell>
          <cell r="E261">
            <v>142</v>
          </cell>
          <cell r="F261">
            <v>196</v>
          </cell>
          <cell r="G261">
            <v>1379</v>
          </cell>
          <cell r="H261">
            <v>181</v>
          </cell>
          <cell r="I261">
            <v>6174</v>
          </cell>
          <cell r="J261">
            <v>0</v>
          </cell>
          <cell r="K261">
            <v>6800</v>
          </cell>
          <cell r="L261">
            <v>23</v>
          </cell>
          <cell r="M261">
            <v>612</v>
          </cell>
          <cell r="N261">
            <v>70</v>
          </cell>
          <cell r="O261">
            <v>12</v>
          </cell>
          <cell r="P261">
            <v>76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B262" t="str">
            <v>Di Akhir Triwulan</v>
          </cell>
          <cell r="C262" t="str">
            <v>TBM</v>
          </cell>
          <cell r="D262">
            <v>489</v>
          </cell>
          <cell r="E262">
            <v>65</v>
          </cell>
          <cell r="F262">
            <v>109</v>
          </cell>
          <cell r="G262">
            <v>470</v>
          </cell>
          <cell r="I262">
            <v>225</v>
          </cell>
          <cell r="K262">
            <v>500</v>
          </cell>
          <cell r="L262">
            <v>10</v>
          </cell>
          <cell r="M262">
            <v>19</v>
          </cell>
          <cell r="N262">
            <v>10</v>
          </cell>
          <cell r="O262">
            <v>2</v>
          </cell>
          <cell r="P262">
            <v>48</v>
          </cell>
        </row>
        <row r="263">
          <cell r="C263" t="str">
            <v>TPSM</v>
          </cell>
          <cell r="D263">
            <v>904</v>
          </cell>
          <cell r="F263">
            <v>63</v>
          </cell>
          <cell r="G263">
            <v>350</v>
          </cell>
          <cell r="H263">
            <v>52</v>
          </cell>
          <cell r="K263">
            <v>6300</v>
          </cell>
          <cell r="L263">
            <v>11</v>
          </cell>
          <cell r="M263">
            <v>593</v>
          </cell>
          <cell r="N263">
            <v>60</v>
          </cell>
          <cell r="O263">
            <v>9</v>
          </cell>
          <cell r="P263">
            <v>28</v>
          </cell>
        </row>
        <row r="264">
          <cell r="C264" t="str">
            <v>TPBM</v>
          </cell>
          <cell r="D264">
            <v>0</v>
          </cell>
          <cell r="E264">
            <v>77</v>
          </cell>
          <cell r="F264">
            <v>20</v>
          </cell>
          <cell r="G264">
            <v>552</v>
          </cell>
          <cell r="H264">
            <v>129</v>
          </cell>
          <cell r="I264">
            <v>5844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C265" t="str">
            <v>TR</v>
          </cell>
          <cell r="D265">
            <v>7</v>
          </cell>
          <cell r="F265">
            <v>4</v>
          </cell>
          <cell r="G265">
            <v>7</v>
          </cell>
          <cell r="I265">
            <v>105</v>
          </cell>
          <cell r="L265">
            <v>2</v>
          </cell>
          <cell r="O265">
            <v>1</v>
          </cell>
        </row>
        <row r="266">
          <cell r="B266" t="str">
            <v>Produksi</v>
          </cell>
          <cell r="C266" t="str">
            <v>(kuintal)</v>
          </cell>
          <cell r="D266">
            <v>135</v>
          </cell>
          <cell r="E266">
            <v>0</v>
          </cell>
          <cell r="F266">
            <v>75.599999999999994</v>
          </cell>
          <cell r="G266">
            <v>87.63</v>
          </cell>
          <cell r="H266">
            <v>21</v>
          </cell>
          <cell r="I266">
            <v>0</v>
          </cell>
          <cell r="J266">
            <v>0</v>
          </cell>
          <cell r="K266">
            <v>570</v>
          </cell>
          <cell r="L266">
            <v>4</v>
          </cell>
          <cell r="M266">
            <v>2046.85</v>
          </cell>
          <cell r="N266">
            <v>12</v>
          </cell>
          <cell r="O266">
            <v>4.5</v>
          </cell>
          <cell r="P266">
            <v>17.47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B267" t="str">
            <v>Provitas</v>
          </cell>
          <cell r="C267" t="str">
            <v>(ku/pohon)</v>
          </cell>
          <cell r="D267">
            <v>0.14933628318584072</v>
          </cell>
          <cell r="E267" t="e">
            <v>#DIV/0!</v>
          </cell>
          <cell r="F267">
            <v>1.2</v>
          </cell>
          <cell r="G267">
            <v>0.25037142857142858</v>
          </cell>
          <cell r="H267">
            <v>0.40384615384615385</v>
          </cell>
          <cell r="I267" t="e">
            <v>#DIV/0!</v>
          </cell>
          <cell r="J267" t="e">
            <v>#DIV/0!</v>
          </cell>
          <cell r="K267">
            <v>9.0476190476190474E-2</v>
          </cell>
          <cell r="L267">
            <v>0.36363636363636365</v>
          </cell>
          <cell r="M267">
            <v>3.4516863406408094</v>
          </cell>
          <cell r="N267">
            <v>0.2</v>
          </cell>
          <cell r="O267">
            <v>0.5</v>
          </cell>
          <cell r="P267">
            <v>0.62392857142857139</v>
          </cell>
          <cell r="Q267" t="e">
            <v>#DIV/0!</v>
          </cell>
          <cell r="R267" t="e">
            <v>#DIV/0!</v>
          </cell>
          <cell r="S267" t="e">
            <v>#DIV/0!</v>
          </cell>
          <cell r="T267" t="e">
            <v>#DIV/0!</v>
          </cell>
        </row>
        <row r="268">
          <cell r="B268" t="str">
            <v>Harga/kg</v>
          </cell>
          <cell r="C268" t="str">
            <v>Rupiah</v>
          </cell>
          <cell r="D268">
            <v>5400</v>
          </cell>
          <cell r="E268">
            <v>0</v>
          </cell>
          <cell r="F268">
            <v>10000</v>
          </cell>
          <cell r="G268">
            <v>6000</v>
          </cell>
          <cell r="H268">
            <v>3000</v>
          </cell>
          <cell r="I268">
            <v>0</v>
          </cell>
          <cell r="J268">
            <v>0</v>
          </cell>
          <cell r="K268">
            <v>10000</v>
          </cell>
          <cell r="L268">
            <v>5000</v>
          </cell>
          <cell r="M268">
            <v>6000</v>
          </cell>
          <cell r="N268">
            <v>5000</v>
          </cell>
          <cell r="O268">
            <v>4000</v>
          </cell>
          <cell r="P268">
            <v>10000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 t="str">
            <v>Melinjo</v>
          </cell>
          <cell r="B269" t="str">
            <v>Tan Akhir Trw lalu</v>
          </cell>
          <cell r="C269" t="str">
            <v>Pohon/rumpun</v>
          </cell>
          <cell r="D269">
            <v>4270</v>
          </cell>
          <cell r="E269">
            <v>275</v>
          </cell>
          <cell r="F269">
            <v>12480</v>
          </cell>
          <cell r="G269">
            <v>14068</v>
          </cell>
          <cell r="H269">
            <v>2118</v>
          </cell>
          <cell r="I269">
            <v>32142</v>
          </cell>
          <cell r="J269">
            <v>57</v>
          </cell>
          <cell r="K269">
            <v>390</v>
          </cell>
          <cell r="L269">
            <v>783</v>
          </cell>
          <cell r="M269">
            <v>1273</v>
          </cell>
          <cell r="N269">
            <v>60</v>
          </cell>
          <cell r="O269">
            <v>290</v>
          </cell>
          <cell r="P269">
            <v>0</v>
          </cell>
          <cell r="Q269">
            <v>0</v>
          </cell>
          <cell r="R269">
            <v>35</v>
          </cell>
          <cell r="S269">
            <v>850</v>
          </cell>
          <cell r="T269">
            <v>0</v>
          </cell>
        </row>
        <row r="270">
          <cell r="B270" t="str">
            <v>Selama Triwulan</v>
          </cell>
          <cell r="C270" t="str">
            <v>Bongkar</v>
          </cell>
          <cell r="F270">
            <v>543</v>
          </cell>
          <cell r="G270">
            <v>20</v>
          </cell>
          <cell r="I270">
            <v>285</v>
          </cell>
          <cell r="K270">
            <v>20</v>
          </cell>
          <cell r="L270">
            <v>12</v>
          </cell>
          <cell r="M270">
            <v>84</v>
          </cell>
          <cell r="O270">
            <v>58</v>
          </cell>
        </row>
        <row r="271">
          <cell r="C271" t="str">
            <v>Baru</v>
          </cell>
        </row>
        <row r="272">
          <cell r="B272" t="str">
            <v xml:space="preserve">∑ Tanaman Akhir </v>
          </cell>
          <cell r="C272" t="str">
            <v>Pohon/rumpun</v>
          </cell>
          <cell r="D272">
            <v>4270</v>
          </cell>
          <cell r="E272">
            <v>275</v>
          </cell>
          <cell r="F272">
            <v>11937</v>
          </cell>
          <cell r="G272">
            <v>14048</v>
          </cell>
          <cell r="H272">
            <v>2118</v>
          </cell>
          <cell r="I272">
            <v>31857</v>
          </cell>
          <cell r="J272">
            <v>57</v>
          </cell>
          <cell r="K272">
            <v>370</v>
          </cell>
          <cell r="L272">
            <v>771</v>
          </cell>
          <cell r="M272">
            <v>1189</v>
          </cell>
          <cell r="N272">
            <v>60</v>
          </cell>
          <cell r="O272">
            <v>232</v>
          </cell>
          <cell r="P272">
            <v>0</v>
          </cell>
          <cell r="Q272">
            <v>0</v>
          </cell>
          <cell r="R272">
            <v>35</v>
          </cell>
          <cell r="S272">
            <v>850</v>
          </cell>
          <cell r="T272">
            <v>0</v>
          </cell>
        </row>
        <row r="273">
          <cell r="B273" t="str">
            <v>Di Akhir Triwulan</v>
          </cell>
          <cell r="C273" t="str">
            <v>TBM</v>
          </cell>
          <cell r="D273">
            <v>745</v>
          </cell>
          <cell r="E273">
            <v>125</v>
          </cell>
          <cell r="F273">
            <v>5639</v>
          </cell>
          <cell r="G273">
            <v>1700</v>
          </cell>
          <cell r="H273">
            <v>66</v>
          </cell>
          <cell r="I273">
            <v>1660</v>
          </cell>
          <cell r="K273">
            <v>10</v>
          </cell>
          <cell r="L273">
            <v>257</v>
          </cell>
          <cell r="M273">
            <v>217</v>
          </cell>
          <cell r="N273">
            <v>6</v>
          </cell>
          <cell r="O273">
            <v>46</v>
          </cell>
          <cell r="R273">
            <v>2</v>
          </cell>
          <cell r="S273">
            <v>270</v>
          </cell>
        </row>
        <row r="274">
          <cell r="C274" t="str">
            <v>TPSM</v>
          </cell>
          <cell r="D274">
            <v>3520</v>
          </cell>
          <cell r="F274">
            <v>6213</v>
          </cell>
          <cell r="G274">
            <v>6500</v>
          </cell>
          <cell r="H274">
            <v>540</v>
          </cell>
          <cell r="I274">
            <v>3645</v>
          </cell>
          <cell r="J274">
            <v>57</v>
          </cell>
          <cell r="K274">
            <v>360</v>
          </cell>
          <cell r="L274">
            <v>470</v>
          </cell>
          <cell r="M274">
            <v>972</v>
          </cell>
          <cell r="N274">
            <v>54</v>
          </cell>
          <cell r="O274">
            <v>174</v>
          </cell>
          <cell r="R274">
            <v>33</v>
          </cell>
          <cell r="S274">
            <v>580</v>
          </cell>
        </row>
        <row r="275">
          <cell r="C275" t="str">
            <v>TPBM</v>
          </cell>
          <cell r="D275">
            <v>0</v>
          </cell>
          <cell r="E275">
            <v>150</v>
          </cell>
          <cell r="F275">
            <v>84</v>
          </cell>
          <cell r="G275">
            <v>5817</v>
          </cell>
          <cell r="H275">
            <v>1512</v>
          </cell>
          <cell r="I275">
            <v>26237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C276" t="str">
            <v>TR</v>
          </cell>
          <cell r="D276">
            <v>5</v>
          </cell>
          <cell r="F276">
            <v>1</v>
          </cell>
          <cell r="G276">
            <v>31</v>
          </cell>
          <cell r="I276">
            <v>315</v>
          </cell>
          <cell r="L276">
            <v>44</v>
          </cell>
          <cell r="O276">
            <v>12</v>
          </cell>
        </row>
        <row r="277">
          <cell r="B277" t="str">
            <v>Produksi</v>
          </cell>
          <cell r="C277" t="str">
            <v>(kuintal)</v>
          </cell>
          <cell r="D277">
            <v>316</v>
          </cell>
          <cell r="E277">
            <v>0</v>
          </cell>
          <cell r="F277">
            <v>808.08</v>
          </cell>
          <cell r="G277">
            <v>1040.29</v>
          </cell>
          <cell r="H277">
            <v>320</v>
          </cell>
          <cell r="I277">
            <v>583.4</v>
          </cell>
          <cell r="J277">
            <v>9</v>
          </cell>
          <cell r="K277">
            <v>40</v>
          </cell>
          <cell r="L277">
            <v>52</v>
          </cell>
          <cell r="M277">
            <v>48.73</v>
          </cell>
          <cell r="N277">
            <v>3.24</v>
          </cell>
          <cell r="O277">
            <v>35</v>
          </cell>
          <cell r="P277">
            <v>0</v>
          </cell>
          <cell r="Q277">
            <v>0</v>
          </cell>
          <cell r="R277">
            <v>0.15</v>
          </cell>
          <cell r="S277">
            <v>29</v>
          </cell>
          <cell r="T277">
            <v>0</v>
          </cell>
        </row>
        <row r="278">
          <cell r="B278" t="str">
            <v>Provitas</v>
          </cell>
          <cell r="C278" t="str">
            <v>(ku/pohon)</v>
          </cell>
          <cell r="D278">
            <v>8.9772727272727268E-2</v>
          </cell>
          <cell r="E278" t="e">
            <v>#DIV/0!</v>
          </cell>
          <cell r="F278">
            <v>0.13006277160791888</v>
          </cell>
          <cell r="G278">
            <v>0.16004461538461537</v>
          </cell>
          <cell r="H278">
            <v>0.59259259259259256</v>
          </cell>
          <cell r="I278">
            <v>0.16005486968449931</v>
          </cell>
          <cell r="J278">
            <v>0.15789473684210525</v>
          </cell>
          <cell r="K278">
            <v>0.1111111111111111</v>
          </cell>
          <cell r="L278">
            <v>0.11063829787234042</v>
          </cell>
          <cell r="M278">
            <v>5.0133744855967076E-2</v>
          </cell>
          <cell r="N278">
            <v>6.0000000000000005E-2</v>
          </cell>
          <cell r="O278">
            <v>0.20114942528735633</v>
          </cell>
          <cell r="P278" t="e">
            <v>#DIV/0!</v>
          </cell>
          <cell r="Q278" t="e">
            <v>#DIV/0!</v>
          </cell>
          <cell r="R278">
            <v>4.5454545454545452E-3</v>
          </cell>
          <cell r="S278">
            <v>0.05</v>
          </cell>
          <cell r="T278" t="e">
            <v>#DIV/0!</v>
          </cell>
        </row>
        <row r="279">
          <cell r="B279" t="str">
            <v>Harga/kg</v>
          </cell>
          <cell r="C279" t="str">
            <v>Rupiah</v>
          </cell>
          <cell r="D279">
            <v>7500</v>
          </cell>
          <cell r="E279">
            <v>0</v>
          </cell>
          <cell r="F279">
            <v>25000</v>
          </cell>
          <cell r="G279">
            <v>15000</v>
          </cell>
          <cell r="H279">
            <v>7500</v>
          </cell>
          <cell r="I279">
            <v>15000</v>
          </cell>
          <cell r="J279">
            <v>15000</v>
          </cell>
          <cell r="K279">
            <v>7000</v>
          </cell>
          <cell r="L279">
            <v>12000</v>
          </cell>
          <cell r="M279">
            <v>12500</v>
          </cell>
          <cell r="N279">
            <v>14000</v>
          </cell>
          <cell r="O279">
            <v>22000</v>
          </cell>
          <cell r="P279">
            <v>0</v>
          </cell>
          <cell r="Q279">
            <v>0</v>
          </cell>
          <cell r="R279">
            <v>9000</v>
          </cell>
          <cell r="S279">
            <v>11000</v>
          </cell>
          <cell r="T279">
            <v>0</v>
          </cell>
        </row>
        <row r="280">
          <cell r="A280" t="str">
            <v>Petai</v>
          </cell>
          <cell r="B280" t="str">
            <v>Tan Akhir Trw lalu</v>
          </cell>
          <cell r="C280" t="str">
            <v>Pohon/rumpun</v>
          </cell>
          <cell r="D280">
            <v>4860</v>
          </cell>
          <cell r="E280">
            <v>14528</v>
          </cell>
          <cell r="F280">
            <v>4993</v>
          </cell>
          <cell r="G280">
            <v>11387</v>
          </cell>
          <cell r="H280">
            <v>2603</v>
          </cell>
          <cell r="I280">
            <v>3528</v>
          </cell>
          <cell r="J280">
            <v>75</v>
          </cell>
          <cell r="K280">
            <v>1590</v>
          </cell>
          <cell r="L280">
            <v>9637</v>
          </cell>
          <cell r="M280">
            <v>1061</v>
          </cell>
          <cell r="N280">
            <v>110</v>
          </cell>
          <cell r="O280">
            <v>73</v>
          </cell>
          <cell r="P280">
            <v>98</v>
          </cell>
          <cell r="Q280">
            <v>77</v>
          </cell>
          <cell r="R280">
            <v>62</v>
          </cell>
          <cell r="S280">
            <v>0</v>
          </cell>
          <cell r="T280">
            <v>0</v>
          </cell>
        </row>
        <row r="281">
          <cell r="B281" t="str">
            <v>Selama Triwulan</v>
          </cell>
          <cell r="C281" t="str">
            <v>Bongkar</v>
          </cell>
          <cell r="E281">
            <v>10</v>
          </cell>
          <cell r="F281">
            <v>78</v>
          </cell>
          <cell r="G281">
            <v>15</v>
          </cell>
          <cell r="I281">
            <v>23</v>
          </cell>
          <cell r="K281">
            <v>20</v>
          </cell>
          <cell r="L281">
            <v>119</v>
          </cell>
          <cell r="M281">
            <v>47</v>
          </cell>
          <cell r="O281">
            <v>15</v>
          </cell>
          <cell r="P281">
            <v>16</v>
          </cell>
          <cell r="R281">
            <v>4</v>
          </cell>
        </row>
        <row r="282">
          <cell r="C282" t="str">
            <v>Baru</v>
          </cell>
          <cell r="F282">
            <v>60</v>
          </cell>
        </row>
        <row r="283">
          <cell r="B283" t="str">
            <v xml:space="preserve">∑ Tanaman Akhir </v>
          </cell>
          <cell r="C283" t="str">
            <v>Pohon/rumpun</v>
          </cell>
          <cell r="D283">
            <v>4860</v>
          </cell>
          <cell r="E283">
            <v>14518</v>
          </cell>
          <cell r="F283">
            <v>4975</v>
          </cell>
          <cell r="G283">
            <v>11372</v>
          </cell>
          <cell r="H283">
            <v>2603</v>
          </cell>
          <cell r="I283">
            <v>3505</v>
          </cell>
          <cell r="J283">
            <v>75</v>
          </cell>
          <cell r="K283">
            <v>1570</v>
          </cell>
          <cell r="L283">
            <v>9518</v>
          </cell>
          <cell r="M283">
            <v>1014</v>
          </cell>
          <cell r="N283">
            <v>110</v>
          </cell>
          <cell r="O283">
            <v>58</v>
          </cell>
          <cell r="P283">
            <v>82</v>
          </cell>
          <cell r="Q283">
            <v>77</v>
          </cell>
          <cell r="R283">
            <v>58</v>
          </cell>
          <cell r="S283">
            <v>0</v>
          </cell>
          <cell r="T283">
            <v>0</v>
          </cell>
        </row>
        <row r="284">
          <cell r="B284" t="str">
            <v>Di Akhir Triwulan</v>
          </cell>
          <cell r="C284" t="str">
            <v>TBM</v>
          </cell>
          <cell r="D284">
            <v>1054</v>
          </cell>
          <cell r="E284">
            <v>2050</v>
          </cell>
          <cell r="F284">
            <v>1923</v>
          </cell>
          <cell r="G284">
            <v>1250</v>
          </cell>
          <cell r="H284">
            <v>636</v>
          </cell>
          <cell r="I284">
            <v>1324</v>
          </cell>
          <cell r="K284">
            <v>600</v>
          </cell>
          <cell r="L284">
            <v>8669</v>
          </cell>
          <cell r="M284">
            <v>119</v>
          </cell>
          <cell r="N284">
            <v>90</v>
          </cell>
          <cell r="O284">
            <v>12</v>
          </cell>
          <cell r="P284">
            <v>53</v>
          </cell>
          <cell r="Q284">
            <v>19</v>
          </cell>
          <cell r="R284">
            <v>56</v>
          </cell>
        </row>
        <row r="285">
          <cell r="C285" t="str">
            <v>TPSM</v>
          </cell>
          <cell r="D285">
            <v>3800</v>
          </cell>
          <cell r="F285">
            <v>2309</v>
          </cell>
          <cell r="G285">
            <v>2350</v>
          </cell>
          <cell r="H285">
            <v>1823</v>
          </cell>
          <cell r="I285">
            <v>65</v>
          </cell>
          <cell r="J285">
            <v>75</v>
          </cell>
          <cell r="K285">
            <v>970</v>
          </cell>
          <cell r="L285">
            <v>382</v>
          </cell>
          <cell r="M285">
            <v>895</v>
          </cell>
          <cell r="N285">
            <v>20</v>
          </cell>
          <cell r="O285">
            <v>44</v>
          </cell>
          <cell r="P285">
            <v>29</v>
          </cell>
          <cell r="Q285">
            <v>58</v>
          </cell>
          <cell r="R285">
            <v>2</v>
          </cell>
        </row>
        <row r="286">
          <cell r="C286" t="str">
            <v>TPBM</v>
          </cell>
          <cell r="D286">
            <v>0</v>
          </cell>
          <cell r="E286">
            <v>12468</v>
          </cell>
          <cell r="F286">
            <v>687</v>
          </cell>
          <cell r="G286">
            <v>7748</v>
          </cell>
          <cell r="H286">
            <v>144</v>
          </cell>
          <cell r="I286">
            <v>2093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C287" t="str">
            <v>TR</v>
          </cell>
          <cell r="D287">
            <v>6</v>
          </cell>
          <cell r="F287">
            <v>56</v>
          </cell>
          <cell r="G287">
            <v>24</v>
          </cell>
          <cell r="I287">
            <v>23</v>
          </cell>
          <cell r="L287">
            <v>467</v>
          </cell>
          <cell r="O287">
            <v>2</v>
          </cell>
        </row>
        <row r="288">
          <cell r="B288" t="str">
            <v>Produksi</v>
          </cell>
          <cell r="C288" t="str">
            <v>(kuintal)</v>
          </cell>
          <cell r="D288">
            <v>645</v>
          </cell>
          <cell r="E288">
            <v>0</v>
          </cell>
          <cell r="F288">
            <v>808.15</v>
          </cell>
          <cell r="G288">
            <v>822.49</v>
          </cell>
          <cell r="H288">
            <v>2297</v>
          </cell>
          <cell r="I288">
            <v>22.75</v>
          </cell>
          <cell r="J288">
            <v>16</v>
          </cell>
          <cell r="K288">
            <v>120</v>
          </cell>
          <cell r="L288">
            <v>145</v>
          </cell>
          <cell r="M288">
            <v>128.13999999999999</v>
          </cell>
          <cell r="N288">
            <v>2</v>
          </cell>
          <cell r="O288">
            <v>13.14</v>
          </cell>
          <cell r="P288">
            <v>11.45</v>
          </cell>
          <cell r="Q288">
            <v>1.74</v>
          </cell>
          <cell r="R288">
            <v>0.7</v>
          </cell>
          <cell r="S288">
            <v>0</v>
          </cell>
          <cell r="T288">
            <v>0</v>
          </cell>
        </row>
        <row r="289">
          <cell r="B289" t="str">
            <v>Provitas</v>
          </cell>
          <cell r="C289" t="str">
            <v>(ku/pohon)</v>
          </cell>
          <cell r="D289">
            <v>0.16973684210526316</v>
          </cell>
          <cell r="E289" t="e">
            <v>#DIV/0!</v>
          </cell>
          <cell r="F289">
            <v>0.35</v>
          </cell>
          <cell r="G289">
            <v>0.3499957446808511</v>
          </cell>
          <cell r="H289">
            <v>1.2600109709270433</v>
          </cell>
          <cell r="I289">
            <v>0.35</v>
          </cell>
          <cell r="J289">
            <v>0.21333333333333335</v>
          </cell>
          <cell r="K289">
            <v>0.12371134020618557</v>
          </cell>
          <cell r="L289">
            <v>0.37958115183246072</v>
          </cell>
          <cell r="M289">
            <v>0.14317318435754189</v>
          </cell>
          <cell r="N289">
            <v>0.1</v>
          </cell>
          <cell r="O289">
            <v>0.29863636363636364</v>
          </cell>
          <cell r="P289">
            <v>0.39482758620689651</v>
          </cell>
          <cell r="Q289">
            <v>0.03</v>
          </cell>
          <cell r="R289">
            <v>0.35</v>
          </cell>
          <cell r="S289" t="e">
            <v>#DIV/0!</v>
          </cell>
          <cell r="T289" t="e">
            <v>#DIV/0!</v>
          </cell>
        </row>
        <row r="290">
          <cell r="B290" t="str">
            <v>Harga/kg</v>
          </cell>
          <cell r="C290" t="str">
            <v>Rupiah</v>
          </cell>
          <cell r="D290">
            <v>20000</v>
          </cell>
          <cell r="E290">
            <v>0</v>
          </cell>
          <cell r="F290">
            <v>40000</v>
          </cell>
          <cell r="G290">
            <v>20000</v>
          </cell>
          <cell r="H290">
            <v>9000</v>
          </cell>
          <cell r="I290">
            <v>22000</v>
          </cell>
          <cell r="J290">
            <v>3000</v>
          </cell>
          <cell r="K290">
            <v>12000</v>
          </cell>
          <cell r="L290">
            <v>6000</v>
          </cell>
          <cell r="M290">
            <v>12500</v>
          </cell>
          <cell r="N290">
            <v>16000</v>
          </cell>
          <cell r="O290">
            <v>7000</v>
          </cell>
          <cell r="P290">
            <v>30000</v>
          </cell>
          <cell r="Q290">
            <v>10000</v>
          </cell>
          <cell r="R290">
            <v>15000</v>
          </cell>
          <cell r="S290">
            <v>0</v>
          </cell>
          <cell r="T290">
            <v>0</v>
          </cell>
        </row>
        <row r="291">
          <cell r="A291" t="str">
            <v>Jengkol</v>
          </cell>
          <cell r="B291" t="str">
            <v>Tan Akhir Trw lalu</v>
          </cell>
          <cell r="C291" t="str">
            <v>Pohon/rumpun</v>
          </cell>
          <cell r="D291">
            <v>645</v>
          </cell>
          <cell r="E291">
            <v>375</v>
          </cell>
          <cell r="F291">
            <v>0</v>
          </cell>
          <cell r="G291">
            <v>0</v>
          </cell>
          <cell r="H291">
            <v>0</v>
          </cell>
          <cell r="I291">
            <v>212</v>
          </cell>
          <cell r="J291">
            <v>0</v>
          </cell>
          <cell r="K291">
            <v>0</v>
          </cell>
          <cell r="L291">
            <v>267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B292" t="str">
            <v>Selama Triwulan</v>
          </cell>
          <cell r="C292" t="str">
            <v>Bongkar</v>
          </cell>
          <cell r="I292">
            <v>13</v>
          </cell>
          <cell r="L292">
            <v>18</v>
          </cell>
        </row>
        <row r="293">
          <cell r="C293" t="str">
            <v>Baru</v>
          </cell>
        </row>
        <row r="294">
          <cell r="B294" t="str">
            <v xml:space="preserve">∑ Tanaman Akhir </v>
          </cell>
          <cell r="C294" t="str">
            <v>Pohon/rumpun</v>
          </cell>
          <cell r="D294">
            <v>645</v>
          </cell>
          <cell r="E294">
            <v>375</v>
          </cell>
          <cell r="F294">
            <v>0</v>
          </cell>
          <cell r="G294">
            <v>0</v>
          </cell>
          <cell r="H294">
            <v>0</v>
          </cell>
          <cell r="I294">
            <v>199</v>
          </cell>
          <cell r="J294">
            <v>0</v>
          </cell>
          <cell r="K294">
            <v>0</v>
          </cell>
          <cell r="L294">
            <v>249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B295" t="str">
            <v>Di Akhir Triwulan</v>
          </cell>
          <cell r="C295" t="str">
            <v>TBM</v>
          </cell>
          <cell r="D295">
            <v>175</v>
          </cell>
          <cell r="E295">
            <v>375</v>
          </cell>
          <cell r="I295">
            <v>38</v>
          </cell>
          <cell r="L295">
            <v>212</v>
          </cell>
        </row>
        <row r="296">
          <cell r="C296" t="str">
            <v>TPSM</v>
          </cell>
          <cell r="D296">
            <v>464</v>
          </cell>
          <cell r="L296">
            <v>16</v>
          </cell>
        </row>
        <row r="297">
          <cell r="C297" t="str">
            <v>TPBM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148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C298" t="str">
            <v>TR</v>
          </cell>
          <cell r="D298">
            <v>6</v>
          </cell>
          <cell r="I298">
            <v>13</v>
          </cell>
          <cell r="L298">
            <v>21</v>
          </cell>
        </row>
        <row r="299">
          <cell r="B299" t="str">
            <v>Produksi</v>
          </cell>
          <cell r="C299" t="str">
            <v>(kuintal)</v>
          </cell>
          <cell r="D299">
            <v>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B300" t="str">
            <v>Provitas</v>
          </cell>
          <cell r="C300" t="str">
            <v>(ku/pohon)</v>
          </cell>
          <cell r="D300">
            <v>1.0043103448275863</v>
          </cell>
          <cell r="E300" t="e">
            <v>#DIV/0!</v>
          </cell>
          <cell r="F300" t="e">
            <v>#DIV/0!</v>
          </cell>
          <cell r="G300" t="e">
            <v>#DIV/0!</v>
          </cell>
          <cell r="H300" t="e">
            <v>#DIV/0!</v>
          </cell>
          <cell r="I300" t="e">
            <v>#DIV/0!</v>
          </cell>
          <cell r="J300" t="e">
            <v>#DIV/0!</v>
          </cell>
          <cell r="K300" t="e">
            <v>#DIV/0!</v>
          </cell>
          <cell r="L300">
            <v>0.375</v>
          </cell>
          <cell r="M300" t="e">
            <v>#DIV/0!</v>
          </cell>
          <cell r="N300" t="e">
            <v>#DIV/0!</v>
          </cell>
          <cell r="O300" t="e">
            <v>#DIV/0!</v>
          </cell>
          <cell r="P300" t="e">
            <v>#DIV/0!</v>
          </cell>
          <cell r="Q300" t="e">
            <v>#DIV/0!</v>
          </cell>
          <cell r="R300" t="e">
            <v>#DIV/0!</v>
          </cell>
          <cell r="S300" t="e">
            <v>#DIV/0!</v>
          </cell>
          <cell r="T300" t="e">
            <v>#DIV/0!</v>
          </cell>
        </row>
        <row r="301">
          <cell r="B301" t="str">
            <v>Harga/kg</v>
          </cell>
          <cell r="C301" t="str">
            <v>Rupiah</v>
          </cell>
          <cell r="D301">
            <v>20000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25000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</sheetData>
      <sheetData sheetId="3"/>
      <sheetData sheetId="4">
        <row r="4">
          <cell r="A4" t="str">
            <v>Tanaman</v>
          </cell>
          <cell r="B4" t="str">
            <v>Jenis Data</v>
          </cell>
          <cell r="D4" t="str">
            <v xml:space="preserve">SALEM </v>
          </cell>
          <cell r="E4" t="str">
            <v xml:space="preserve">BANTARKAWUNG </v>
          </cell>
          <cell r="F4" t="str">
            <v>BUMIAYU</v>
          </cell>
          <cell r="G4" t="str">
            <v>PAGUYANGAN</v>
          </cell>
          <cell r="H4" t="str">
            <v>SIRAMPOG</v>
          </cell>
          <cell r="I4" t="str">
            <v xml:space="preserve">TONJONG </v>
          </cell>
          <cell r="J4" t="str">
            <v xml:space="preserve">LARANGAN  </v>
          </cell>
          <cell r="K4" t="str">
            <v>KETANGGUNGAN</v>
          </cell>
          <cell r="L4" t="str">
            <v>BANJARHARJO</v>
          </cell>
          <cell r="M4" t="str">
            <v>LOSARI</v>
          </cell>
          <cell r="N4" t="str">
            <v>TANJUNG</v>
          </cell>
          <cell r="O4" t="str">
            <v>KERSANA</v>
          </cell>
          <cell r="P4" t="str">
            <v>BULAKAMBA</v>
          </cell>
          <cell r="Q4" t="str">
            <v>WANASARI</v>
          </cell>
          <cell r="R4" t="str">
            <v>SONGGOM</v>
          </cell>
          <cell r="S4" t="str">
            <v>JATIBARANG</v>
          </cell>
          <cell r="T4" t="str">
            <v xml:space="preserve">BREBES </v>
          </cell>
        </row>
        <row r="5">
          <cell r="A5" t="str">
            <v>Alpukat</v>
          </cell>
          <cell r="B5" t="str">
            <v>Tan Akhir Trw lalu</v>
          </cell>
          <cell r="C5" t="str">
            <v>Pohon/rumpun</v>
          </cell>
          <cell r="D5">
            <v>3340</v>
          </cell>
          <cell r="E5">
            <v>900</v>
          </cell>
          <cell r="F5">
            <v>338</v>
          </cell>
          <cell r="G5">
            <v>1113</v>
          </cell>
          <cell r="H5">
            <v>2147</v>
          </cell>
          <cell r="I5">
            <v>5134</v>
          </cell>
          <cell r="J5">
            <v>8</v>
          </cell>
          <cell r="K5">
            <v>0</v>
          </cell>
          <cell r="L5">
            <v>38</v>
          </cell>
          <cell r="M5">
            <v>18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B6" t="str">
            <v>Selama Triwulan</v>
          </cell>
          <cell r="C6" t="str">
            <v>Bongkar</v>
          </cell>
          <cell r="E6">
            <v>4</v>
          </cell>
          <cell r="F6">
            <v>25</v>
          </cell>
          <cell r="G6">
            <v>15</v>
          </cell>
          <cell r="I6">
            <v>12</v>
          </cell>
        </row>
        <row r="7">
          <cell r="C7" t="str">
            <v>Baru</v>
          </cell>
          <cell r="E7">
            <v>8</v>
          </cell>
          <cell r="G7">
            <v>5</v>
          </cell>
          <cell r="H7">
            <v>475</v>
          </cell>
          <cell r="I7">
            <v>4</v>
          </cell>
        </row>
        <row r="8">
          <cell r="B8" t="str">
            <v xml:space="preserve">∑ Tanaman Akhir </v>
          </cell>
          <cell r="C8" t="str">
            <v>Pohon/rumpun</v>
          </cell>
          <cell r="D8">
            <v>3340</v>
          </cell>
          <cell r="E8">
            <v>904</v>
          </cell>
          <cell r="F8">
            <v>313</v>
          </cell>
          <cell r="G8">
            <v>1103</v>
          </cell>
          <cell r="H8">
            <v>2622</v>
          </cell>
          <cell r="I8">
            <v>5126</v>
          </cell>
          <cell r="J8">
            <v>8</v>
          </cell>
          <cell r="K8">
            <v>0</v>
          </cell>
          <cell r="L8">
            <v>38</v>
          </cell>
          <cell r="M8">
            <v>18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B9" t="str">
            <v>Di Akhir Triwulan</v>
          </cell>
          <cell r="C9" t="str">
            <v>TBM</v>
          </cell>
          <cell r="D9">
            <v>140</v>
          </cell>
          <cell r="E9">
            <v>817</v>
          </cell>
          <cell r="F9">
            <v>11</v>
          </cell>
          <cell r="G9">
            <v>482</v>
          </cell>
          <cell r="H9">
            <v>1208</v>
          </cell>
          <cell r="I9">
            <v>3714</v>
          </cell>
          <cell r="J9">
            <v>8</v>
          </cell>
          <cell r="L9">
            <v>28</v>
          </cell>
        </row>
        <row r="10">
          <cell r="C10" t="str">
            <v>TPSM</v>
          </cell>
          <cell r="D10">
            <v>135</v>
          </cell>
          <cell r="E10">
            <v>87</v>
          </cell>
          <cell r="F10">
            <v>265</v>
          </cell>
          <cell r="G10">
            <v>355</v>
          </cell>
          <cell r="H10">
            <v>751</v>
          </cell>
          <cell r="I10">
            <v>160</v>
          </cell>
          <cell r="L10">
            <v>10</v>
          </cell>
          <cell r="M10">
            <v>18</v>
          </cell>
        </row>
        <row r="11">
          <cell r="C11" t="str">
            <v>TPBM</v>
          </cell>
          <cell r="D11">
            <v>3000</v>
          </cell>
          <cell r="E11">
            <v>0</v>
          </cell>
          <cell r="F11">
            <v>12</v>
          </cell>
          <cell r="G11">
            <v>231</v>
          </cell>
          <cell r="H11">
            <v>663</v>
          </cell>
          <cell r="I11">
            <v>1240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C12" t="str">
            <v>TR</v>
          </cell>
          <cell r="D12">
            <v>65</v>
          </cell>
          <cell r="F12">
            <v>25</v>
          </cell>
          <cell r="G12">
            <v>35</v>
          </cell>
          <cell r="I12">
            <v>12</v>
          </cell>
        </row>
        <row r="13">
          <cell r="B13" t="str">
            <v>Produksi</v>
          </cell>
          <cell r="C13" t="str">
            <v>(kuintal)</v>
          </cell>
          <cell r="D13">
            <v>115</v>
          </cell>
          <cell r="E13">
            <v>61</v>
          </cell>
          <cell r="F13">
            <v>45.1</v>
          </cell>
          <cell r="G13">
            <v>127.52</v>
          </cell>
          <cell r="H13">
            <v>658</v>
          </cell>
          <cell r="I13">
            <v>57.39</v>
          </cell>
          <cell r="J13">
            <v>0</v>
          </cell>
          <cell r="K13">
            <v>0</v>
          </cell>
          <cell r="L13">
            <v>4</v>
          </cell>
          <cell r="M13">
            <v>34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B14" t="str">
            <v>Provitas</v>
          </cell>
          <cell r="C14" t="str">
            <v>(ku/pohon)</v>
          </cell>
          <cell r="D14">
            <v>0.85185185185185186</v>
          </cell>
          <cell r="E14">
            <v>0.70114942528735635</v>
          </cell>
          <cell r="F14">
            <v>0.17018867924528303</v>
          </cell>
          <cell r="G14">
            <v>0.35921126760563377</v>
          </cell>
          <cell r="H14">
            <v>0.87616511318242341</v>
          </cell>
          <cell r="I14">
            <v>0.35868749999999999</v>
          </cell>
          <cell r="J14" t="e">
            <v>#DIV/0!</v>
          </cell>
          <cell r="K14" t="e">
            <v>#DIV/0!</v>
          </cell>
          <cell r="L14">
            <v>0.4</v>
          </cell>
          <cell r="M14">
            <v>1.8888888888888888</v>
          </cell>
          <cell r="N14" t="e">
            <v>#DIV/0!</v>
          </cell>
          <cell r="O14" t="e">
            <v>#DIV/0!</v>
          </cell>
          <cell r="P14" t="e">
            <v>#DIV/0!</v>
          </cell>
          <cell r="Q14" t="e">
            <v>#DIV/0!</v>
          </cell>
          <cell r="R14" t="e">
            <v>#DIV/0!</v>
          </cell>
          <cell r="S14" t="e">
            <v>#DIV/0!</v>
          </cell>
          <cell r="T14" t="e">
            <v>#DIV/0!</v>
          </cell>
        </row>
        <row r="15">
          <cell r="B15" t="str">
            <v>Harga/kg</v>
          </cell>
          <cell r="C15" t="str">
            <v>Rupiah</v>
          </cell>
          <cell r="D15">
            <v>15000</v>
          </cell>
          <cell r="E15">
            <v>7500</v>
          </cell>
          <cell r="F15">
            <v>40000</v>
          </cell>
          <cell r="G15">
            <v>15000</v>
          </cell>
          <cell r="H15">
            <v>17000</v>
          </cell>
          <cell r="I15">
            <v>20000</v>
          </cell>
          <cell r="J15">
            <v>0</v>
          </cell>
          <cell r="K15">
            <v>0</v>
          </cell>
          <cell r="L15">
            <v>8000</v>
          </cell>
          <cell r="M15">
            <v>18000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 t="str">
            <v>Anggur</v>
          </cell>
          <cell r="B16" t="str">
            <v>Tan Akhir Trw lalu</v>
          </cell>
          <cell r="C16" t="str">
            <v>Pohon/rumpun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80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336</v>
          </cell>
          <cell r="S16">
            <v>0</v>
          </cell>
          <cell r="T16">
            <v>0</v>
          </cell>
        </row>
        <row r="17">
          <cell r="B17" t="str">
            <v>Selama Triwulan</v>
          </cell>
          <cell r="C17" t="str">
            <v>Bongkar</v>
          </cell>
          <cell r="R17">
            <v>67</v>
          </cell>
        </row>
        <row r="18">
          <cell r="C18" t="str">
            <v>Baru</v>
          </cell>
        </row>
        <row r="19">
          <cell r="B19" t="str">
            <v xml:space="preserve">∑ Tanaman Akhir </v>
          </cell>
          <cell r="C19" t="str">
            <v>Pohon/rumpun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80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269</v>
          </cell>
          <cell r="S19">
            <v>0</v>
          </cell>
          <cell r="T19">
            <v>0</v>
          </cell>
        </row>
        <row r="20">
          <cell r="B20" t="str">
            <v>Di Akhir Triwulan</v>
          </cell>
          <cell r="C20" t="str">
            <v>TBM</v>
          </cell>
          <cell r="I20">
            <v>25</v>
          </cell>
          <cell r="R20">
            <v>32</v>
          </cell>
        </row>
        <row r="21">
          <cell r="C21" t="str">
            <v>TPSM</v>
          </cell>
          <cell r="I21">
            <v>13</v>
          </cell>
          <cell r="R21">
            <v>214</v>
          </cell>
        </row>
        <row r="22">
          <cell r="C22" t="str">
            <v>TPBM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42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C23" t="str">
            <v>TR</v>
          </cell>
          <cell r="R23">
            <v>23</v>
          </cell>
        </row>
        <row r="24">
          <cell r="B24" t="str">
            <v>Produksi</v>
          </cell>
          <cell r="C24" t="str">
            <v>(kuintal)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1.3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6.48</v>
          </cell>
          <cell r="S24">
            <v>0</v>
          </cell>
          <cell r="T24">
            <v>0</v>
          </cell>
        </row>
        <row r="25">
          <cell r="B25" t="str">
            <v>Provitas</v>
          </cell>
          <cell r="C25" t="str">
            <v>(ku/pohon)</v>
          </cell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>
            <v>0.1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  <cell r="N25" t="e">
            <v>#DIV/0!</v>
          </cell>
          <cell r="O25" t="e">
            <v>#DIV/0!</v>
          </cell>
          <cell r="P25" t="e">
            <v>#DIV/0!</v>
          </cell>
          <cell r="Q25" t="e">
            <v>#DIV/0!</v>
          </cell>
          <cell r="R25">
            <v>3.0280373831775703E-2</v>
          </cell>
          <cell r="S25" t="e">
            <v>#DIV/0!</v>
          </cell>
          <cell r="T25" t="e">
            <v>#DIV/0!</v>
          </cell>
        </row>
        <row r="26">
          <cell r="B26" t="str">
            <v>Harga/kg</v>
          </cell>
          <cell r="C26" t="str">
            <v>Rupiah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23000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35000</v>
          </cell>
          <cell r="S26">
            <v>0</v>
          </cell>
          <cell r="T26">
            <v>0</v>
          </cell>
        </row>
        <row r="27">
          <cell r="A27" t="str">
            <v>Apel</v>
          </cell>
          <cell r="B27" t="str">
            <v>Tan Akhir Trw lalu</v>
          </cell>
          <cell r="C27" t="str">
            <v>Pohon/rumpun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B28" t="str">
            <v>Selama Triwulan</v>
          </cell>
          <cell r="C28" t="str">
            <v>Bongkar</v>
          </cell>
        </row>
        <row r="29">
          <cell r="C29" t="str">
            <v>Baru</v>
          </cell>
        </row>
        <row r="30">
          <cell r="B30" t="str">
            <v xml:space="preserve">∑ Tanaman Akhir </v>
          </cell>
          <cell r="C30" t="str">
            <v>Pohon/rumpun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Di Akhir Triwulan</v>
          </cell>
          <cell r="C31" t="str">
            <v>TBM</v>
          </cell>
        </row>
        <row r="32">
          <cell r="C32" t="str">
            <v>TPSM</v>
          </cell>
        </row>
        <row r="33">
          <cell r="C33" t="str">
            <v>TPBM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C34" t="str">
            <v>TR</v>
          </cell>
        </row>
        <row r="35">
          <cell r="B35" t="str">
            <v>Produksi</v>
          </cell>
          <cell r="C35" t="str">
            <v>(kuintal)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B36" t="str">
            <v>Provitas</v>
          </cell>
          <cell r="C36" t="str">
            <v>(ku/pohon)</v>
          </cell>
          <cell r="D36" t="e">
            <v>#DIV/0!</v>
          </cell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  <cell r="N36" t="e">
            <v>#DIV/0!</v>
          </cell>
          <cell r="O36" t="e">
            <v>#DIV/0!</v>
          </cell>
          <cell r="P36" t="e">
            <v>#DIV/0!</v>
          </cell>
          <cell r="Q36" t="e">
            <v>#DIV/0!</v>
          </cell>
          <cell r="R36" t="e">
            <v>#DIV/0!</v>
          </cell>
          <cell r="S36" t="e">
            <v>#DIV/0!</v>
          </cell>
          <cell r="T36" t="e">
            <v>#DIV/0!</v>
          </cell>
        </row>
        <row r="37">
          <cell r="B37" t="str">
            <v>Harga/kg</v>
          </cell>
          <cell r="C37" t="str">
            <v>Rupiah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 t="str">
            <v>Belimbing</v>
          </cell>
          <cell r="B38" t="str">
            <v>Tan Akhir Trw lalu</v>
          </cell>
          <cell r="C38" t="str">
            <v>Pohon/rumpun</v>
          </cell>
          <cell r="D38">
            <v>630</v>
          </cell>
          <cell r="E38">
            <v>650</v>
          </cell>
          <cell r="F38">
            <v>206</v>
          </cell>
          <cell r="G38">
            <v>830</v>
          </cell>
          <cell r="H38">
            <v>456</v>
          </cell>
          <cell r="I38">
            <v>506</v>
          </cell>
          <cell r="J38">
            <v>74</v>
          </cell>
          <cell r="K38">
            <v>520</v>
          </cell>
          <cell r="L38">
            <v>3032</v>
          </cell>
          <cell r="M38">
            <v>810</v>
          </cell>
          <cell r="N38">
            <v>170</v>
          </cell>
          <cell r="O38">
            <v>98</v>
          </cell>
          <cell r="P38">
            <v>523</v>
          </cell>
          <cell r="Q38">
            <v>202</v>
          </cell>
          <cell r="R38">
            <v>22</v>
          </cell>
          <cell r="S38">
            <v>352</v>
          </cell>
          <cell r="T38">
            <v>484</v>
          </cell>
        </row>
        <row r="39">
          <cell r="B39" t="str">
            <v>Selama Triwulan</v>
          </cell>
          <cell r="C39" t="str">
            <v>Bongkar</v>
          </cell>
          <cell r="F39">
            <v>12</v>
          </cell>
          <cell r="I39">
            <v>6</v>
          </cell>
          <cell r="K39">
            <v>20</v>
          </cell>
          <cell r="L39">
            <v>12</v>
          </cell>
          <cell r="M39">
            <v>17</v>
          </cell>
          <cell r="O39">
            <v>20</v>
          </cell>
          <cell r="P39">
            <v>11</v>
          </cell>
          <cell r="R39">
            <v>1</v>
          </cell>
        </row>
        <row r="40">
          <cell r="C40" t="str">
            <v>Baru</v>
          </cell>
          <cell r="N40">
            <v>10</v>
          </cell>
        </row>
        <row r="41">
          <cell r="B41" t="str">
            <v xml:space="preserve">∑ Tanaman Akhir </v>
          </cell>
          <cell r="C41" t="str">
            <v>Pohon/rumpun</v>
          </cell>
          <cell r="D41">
            <v>630</v>
          </cell>
          <cell r="E41">
            <v>650</v>
          </cell>
          <cell r="F41">
            <v>194</v>
          </cell>
          <cell r="G41">
            <v>830</v>
          </cell>
          <cell r="H41">
            <v>456</v>
          </cell>
          <cell r="I41">
            <v>500</v>
          </cell>
          <cell r="J41">
            <v>74</v>
          </cell>
          <cell r="K41">
            <v>500</v>
          </cell>
          <cell r="L41">
            <v>3020</v>
          </cell>
          <cell r="M41">
            <v>793</v>
          </cell>
          <cell r="N41">
            <v>180</v>
          </cell>
          <cell r="O41">
            <v>78</v>
          </cell>
          <cell r="P41">
            <v>512</v>
          </cell>
          <cell r="Q41">
            <v>202</v>
          </cell>
          <cell r="R41">
            <v>21</v>
          </cell>
          <cell r="S41">
            <v>352</v>
          </cell>
          <cell r="T41">
            <v>484</v>
          </cell>
        </row>
        <row r="42">
          <cell r="B42" t="str">
            <v>Di Akhir Triwulan</v>
          </cell>
          <cell r="C42" t="str">
            <v>TBM</v>
          </cell>
          <cell r="D42">
            <v>180</v>
          </cell>
          <cell r="E42">
            <v>650</v>
          </cell>
          <cell r="F42">
            <v>8</v>
          </cell>
          <cell r="H42">
            <v>28</v>
          </cell>
          <cell r="K42">
            <v>3</v>
          </cell>
          <cell r="L42">
            <v>1388</v>
          </cell>
          <cell r="M42">
            <v>382</v>
          </cell>
          <cell r="N42">
            <v>20</v>
          </cell>
          <cell r="O42">
            <v>16</v>
          </cell>
          <cell r="P42">
            <v>117</v>
          </cell>
          <cell r="Q42">
            <v>24</v>
          </cell>
          <cell r="R42">
            <v>9</v>
          </cell>
          <cell r="S42">
            <v>190</v>
          </cell>
          <cell r="T42">
            <v>12</v>
          </cell>
        </row>
        <row r="43">
          <cell r="C43" t="str">
            <v>TPSM</v>
          </cell>
          <cell r="D43">
            <v>430</v>
          </cell>
          <cell r="F43">
            <v>145</v>
          </cell>
          <cell r="H43">
            <v>367</v>
          </cell>
          <cell r="J43">
            <v>74</v>
          </cell>
          <cell r="K43">
            <v>450</v>
          </cell>
          <cell r="L43">
            <v>1615</v>
          </cell>
          <cell r="M43">
            <v>411</v>
          </cell>
          <cell r="N43">
            <v>160</v>
          </cell>
          <cell r="O43">
            <v>58</v>
          </cell>
          <cell r="P43">
            <v>393</v>
          </cell>
          <cell r="Q43">
            <v>178</v>
          </cell>
          <cell r="R43">
            <v>10</v>
          </cell>
          <cell r="S43">
            <v>120</v>
          </cell>
          <cell r="T43">
            <v>135</v>
          </cell>
        </row>
        <row r="44">
          <cell r="C44" t="str">
            <v>TPBM</v>
          </cell>
          <cell r="D44">
            <v>0</v>
          </cell>
          <cell r="E44">
            <v>0</v>
          </cell>
          <cell r="F44">
            <v>31</v>
          </cell>
          <cell r="G44">
            <v>830</v>
          </cell>
          <cell r="H44">
            <v>61</v>
          </cell>
          <cell r="I44">
            <v>490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337</v>
          </cell>
        </row>
        <row r="45">
          <cell r="C45" t="str">
            <v>TR</v>
          </cell>
          <cell r="D45">
            <v>20</v>
          </cell>
          <cell r="F45">
            <v>10</v>
          </cell>
          <cell r="I45">
            <v>10</v>
          </cell>
          <cell r="K45">
            <v>47</v>
          </cell>
          <cell r="L45">
            <v>17</v>
          </cell>
          <cell r="O45">
            <v>4</v>
          </cell>
          <cell r="P45">
            <v>2</v>
          </cell>
          <cell r="R45">
            <v>2</v>
          </cell>
          <cell r="S45">
            <v>42</v>
          </cell>
        </row>
        <row r="46">
          <cell r="B46" t="str">
            <v>Produksi</v>
          </cell>
          <cell r="C46" t="str">
            <v>(kuintal)</v>
          </cell>
          <cell r="D46">
            <v>50.2</v>
          </cell>
          <cell r="E46">
            <v>0</v>
          </cell>
          <cell r="F46">
            <v>53.15</v>
          </cell>
          <cell r="G46">
            <v>0</v>
          </cell>
          <cell r="H46">
            <v>766</v>
          </cell>
          <cell r="I46">
            <v>0</v>
          </cell>
          <cell r="J46">
            <v>74</v>
          </cell>
          <cell r="K46">
            <v>300</v>
          </cell>
          <cell r="L46">
            <v>229</v>
          </cell>
          <cell r="M46">
            <v>230.69</v>
          </cell>
          <cell r="N46">
            <v>7.8</v>
          </cell>
          <cell r="O46">
            <v>29</v>
          </cell>
          <cell r="P46">
            <v>34.299999999999997</v>
          </cell>
          <cell r="Q46">
            <v>5.3</v>
          </cell>
          <cell r="R46">
            <v>2</v>
          </cell>
          <cell r="S46">
            <v>24</v>
          </cell>
          <cell r="T46">
            <v>12</v>
          </cell>
        </row>
        <row r="47">
          <cell r="B47" t="str">
            <v>Provitas</v>
          </cell>
          <cell r="C47" t="str">
            <v>(ku/pohon)</v>
          </cell>
          <cell r="D47">
            <v>0.11674418604651163</v>
          </cell>
          <cell r="E47" t="e">
            <v>#DIV/0!</v>
          </cell>
          <cell r="F47">
            <v>0.36655172413793102</v>
          </cell>
          <cell r="G47" t="e">
            <v>#DIV/0!</v>
          </cell>
          <cell r="H47">
            <v>2.0871934604904632</v>
          </cell>
          <cell r="I47" t="e">
            <v>#DIV/0!</v>
          </cell>
          <cell r="J47">
            <v>1</v>
          </cell>
          <cell r="K47">
            <v>0.66666666666666663</v>
          </cell>
          <cell r="L47">
            <v>0.14179566563467491</v>
          </cell>
          <cell r="M47">
            <v>0.56128953771289536</v>
          </cell>
          <cell r="N47">
            <v>4.8750000000000002E-2</v>
          </cell>
          <cell r="O47">
            <v>0.5</v>
          </cell>
          <cell r="P47">
            <v>8.7277353689567419E-2</v>
          </cell>
          <cell r="Q47">
            <v>2.9775280898876405E-2</v>
          </cell>
          <cell r="R47">
            <v>0.2</v>
          </cell>
          <cell r="S47">
            <v>0.2</v>
          </cell>
          <cell r="T47">
            <v>8.8888888888888892E-2</v>
          </cell>
        </row>
        <row r="48">
          <cell r="B48" t="str">
            <v>Harga/kg</v>
          </cell>
          <cell r="C48" t="str">
            <v>Rupiah</v>
          </cell>
          <cell r="D48">
            <v>36000</v>
          </cell>
          <cell r="E48">
            <v>0</v>
          </cell>
          <cell r="F48">
            <v>15000</v>
          </cell>
          <cell r="G48">
            <v>0</v>
          </cell>
          <cell r="H48">
            <v>6500</v>
          </cell>
          <cell r="I48">
            <v>0</v>
          </cell>
          <cell r="J48">
            <v>5000</v>
          </cell>
          <cell r="K48">
            <v>10000</v>
          </cell>
          <cell r="L48">
            <v>8000</v>
          </cell>
          <cell r="M48">
            <v>5000</v>
          </cell>
          <cell r="N48">
            <v>6000</v>
          </cell>
          <cell r="O48">
            <v>3000</v>
          </cell>
          <cell r="P48">
            <v>8000</v>
          </cell>
          <cell r="Q48">
            <v>4000</v>
          </cell>
          <cell r="R48">
            <v>5000</v>
          </cell>
          <cell r="S48">
            <v>5000</v>
          </cell>
          <cell r="T48">
            <v>4000</v>
          </cell>
        </row>
        <row r="49">
          <cell r="A49" t="str">
            <v>Buah Naga *)</v>
          </cell>
          <cell r="B49" t="str">
            <v>Tan Akhir Trw lalu</v>
          </cell>
          <cell r="C49" t="str">
            <v>Pohon/rumpun</v>
          </cell>
          <cell r="D49">
            <v>0</v>
          </cell>
          <cell r="E49">
            <v>100</v>
          </cell>
          <cell r="F49">
            <v>0</v>
          </cell>
          <cell r="G49">
            <v>0</v>
          </cell>
          <cell r="H49">
            <v>15</v>
          </cell>
          <cell r="I49">
            <v>30</v>
          </cell>
          <cell r="J49">
            <v>0</v>
          </cell>
          <cell r="K49">
            <v>0</v>
          </cell>
          <cell r="L49">
            <v>350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Selama Triwulan</v>
          </cell>
          <cell r="C50" t="str">
            <v>Bongkar</v>
          </cell>
          <cell r="H50">
            <v>7</v>
          </cell>
        </row>
        <row r="51">
          <cell r="C51" t="str">
            <v>Baru</v>
          </cell>
        </row>
        <row r="52">
          <cell r="B52" t="str">
            <v xml:space="preserve">∑ Tanaman Akhir </v>
          </cell>
          <cell r="C52" t="str">
            <v>Pohon/rumpun</v>
          </cell>
          <cell r="D52">
            <v>0</v>
          </cell>
          <cell r="E52">
            <v>100</v>
          </cell>
          <cell r="F52">
            <v>0</v>
          </cell>
          <cell r="G52">
            <v>0</v>
          </cell>
          <cell r="H52">
            <v>8</v>
          </cell>
          <cell r="I52">
            <v>30</v>
          </cell>
          <cell r="J52">
            <v>0</v>
          </cell>
          <cell r="K52">
            <v>0</v>
          </cell>
          <cell r="L52">
            <v>350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B53" t="str">
            <v>Di Akhir Triwulan</v>
          </cell>
          <cell r="C53" t="str">
            <v>TBM</v>
          </cell>
          <cell r="E53">
            <v>100</v>
          </cell>
          <cell r="H53">
            <v>8</v>
          </cell>
          <cell r="I53">
            <v>16</v>
          </cell>
          <cell r="L53">
            <v>243</v>
          </cell>
        </row>
        <row r="54">
          <cell r="C54" t="str">
            <v>TPSM</v>
          </cell>
          <cell r="I54">
            <v>10</v>
          </cell>
          <cell r="L54">
            <v>107</v>
          </cell>
        </row>
        <row r="55">
          <cell r="C55" t="str">
            <v>TPBM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4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C56" t="str">
            <v>TR</v>
          </cell>
        </row>
        <row r="57">
          <cell r="B57" t="str">
            <v>Produksi</v>
          </cell>
          <cell r="C57" t="str">
            <v>(kuintal)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0.9</v>
          </cell>
          <cell r="J57">
            <v>0</v>
          </cell>
          <cell r="K57">
            <v>0</v>
          </cell>
          <cell r="L57">
            <v>3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B58" t="str">
            <v>Provitas</v>
          </cell>
          <cell r="C58" t="str">
            <v>(ku/pohon)</v>
          </cell>
          <cell r="D58" t="e">
            <v>#DIV/0!</v>
          </cell>
          <cell r="E58" t="e">
            <v>#DIV/0!</v>
          </cell>
          <cell r="F58" t="e">
            <v>#DIV/0!</v>
          </cell>
          <cell r="G58" t="e">
            <v>#DIV/0!</v>
          </cell>
          <cell r="H58" t="e">
            <v>#DIV/0!</v>
          </cell>
          <cell r="I58">
            <v>0.09</v>
          </cell>
          <cell r="J58" t="e">
            <v>#DIV/0!</v>
          </cell>
          <cell r="K58" t="e">
            <v>#DIV/0!</v>
          </cell>
          <cell r="L58">
            <v>2.8037383177570093E-2</v>
          </cell>
          <cell r="M58" t="e">
            <v>#DIV/0!</v>
          </cell>
          <cell r="N58" t="e">
            <v>#DIV/0!</v>
          </cell>
          <cell r="O58" t="e">
            <v>#DIV/0!</v>
          </cell>
          <cell r="P58" t="e">
            <v>#DIV/0!</v>
          </cell>
          <cell r="Q58" t="e">
            <v>#DIV/0!</v>
          </cell>
          <cell r="R58" t="e">
            <v>#DIV/0!</v>
          </cell>
          <cell r="S58" t="e">
            <v>#DIV/0!</v>
          </cell>
          <cell r="T58" t="e">
            <v>#DIV/0!</v>
          </cell>
        </row>
        <row r="59">
          <cell r="B59" t="str">
            <v>Harga/kg</v>
          </cell>
          <cell r="C59" t="str">
            <v>Rupiah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15000</v>
          </cell>
          <cell r="J59">
            <v>0</v>
          </cell>
          <cell r="K59">
            <v>0</v>
          </cell>
          <cell r="L59">
            <v>8000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 t="str">
            <v>Duku/Langsat/Kokosan</v>
          </cell>
          <cell r="B60" t="str">
            <v>Tan Akhir Trw lalu</v>
          </cell>
          <cell r="C60" t="str">
            <v>Pohon/rumpun</v>
          </cell>
          <cell r="D60">
            <v>254</v>
          </cell>
          <cell r="E60">
            <v>180</v>
          </cell>
          <cell r="F60">
            <v>37</v>
          </cell>
          <cell r="G60">
            <v>1192</v>
          </cell>
          <cell r="H60">
            <v>278</v>
          </cell>
          <cell r="I60">
            <v>830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B61" t="str">
            <v>Selama Triwulan</v>
          </cell>
          <cell r="C61" t="str">
            <v>Bongkar</v>
          </cell>
          <cell r="E61">
            <v>3</v>
          </cell>
          <cell r="G61">
            <v>18</v>
          </cell>
          <cell r="I61">
            <v>14</v>
          </cell>
        </row>
        <row r="62">
          <cell r="C62" t="str">
            <v>Baru</v>
          </cell>
          <cell r="I62">
            <v>2</v>
          </cell>
        </row>
        <row r="63">
          <cell r="B63" t="str">
            <v xml:space="preserve">∑ Tanaman Akhir </v>
          </cell>
          <cell r="C63" t="str">
            <v>Pohon/rumpun</v>
          </cell>
          <cell r="D63">
            <v>254</v>
          </cell>
          <cell r="E63">
            <v>177</v>
          </cell>
          <cell r="F63">
            <v>37</v>
          </cell>
          <cell r="G63">
            <v>1174</v>
          </cell>
          <cell r="H63">
            <v>278</v>
          </cell>
          <cell r="I63">
            <v>818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Di Akhir Triwulan</v>
          </cell>
          <cell r="C64" t="str">
            <v>TBM</v>
          </cell>
          <cell r="D64">
            <v>94</v>
          </cell>
          <cell r="E64">
            <v>142</v>
          </cell>
          <cell r="G64">
            <v>645</v>
          </cell>
          <cell r="H64">
            <v>278</v>
          </cell>
          <cell r="I64">
            <v>6</v>
          </cell>
        </row>
        <row r="65">
          <cell r="C65" t="str">
            <v>TPSM</v>
          </cell>
          <cell r="D65">
            <v>140</v>
          </cell>
          <cell r="E65">
            <v>35</v>
          </cell>
          <cell r="F65">
            <v>27</v>
          </cell>
        </row>
        <row r="66">
          <cell r="C66" t="str">
            <v>TPBM</v>
          </cell>
          <cell r="D66">
            <v>0</v>
          </cell>
          <cell r="E66">
            <v>0</v>
          </cell>
          <cell r="F66">
            <v>9</v>
          </cell>
          <cell r="G66">
            <v>501</v>
          </cell>
          <cell r="H66">
            <v>0</v>
          </cell>
          <cell r="I66">
            <v>796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C67" t="str">
            <v>TR</v>
          </cell>
          <cell r="D67">
            <v>20</v>
          </cell>
          <cell r="F67">
            <v>1</v>
          </cell>
          <cell r="G67">
            <v>28</v>
          </cell>
          <cell r="I67">
            <v>16</v>
          </cell>
        </row>
        <row r="68">
          <cell r="B68" t="str">
            <v>Produksi</v>
          </cell>
          <cell r="C68" t="str">
            <v>(kuintal)</v>
          </cell>
          <cell r="D68">
            <v>28</v>
          </cell>
          <cell r="E68">
            <v>28</v>
          </cell>
          <cell r="F68">
            <v>10.53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B69" t="str">
            <v>Provitas</v>
          </cell>
          <cell r="C69" t="str">
            <v>(ku/pohon)</v>
          </cell>
          <cell r="D69">
            <v>0.2</v>
          </cell>
          <cell r="E69">
            <v>0.8</v>
          </cell>
          <cell r="F69">
            <v>0.38999999999999996</v>
          </cell>
          <cell r="G69" t="e">
            <v>#DIV/0!</v>
          </cell>
          <cell r="H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  <cell r="N69" t="e">
            <v>#DIV/0!</v>
          </cell>
          <cell r="O69" t="e">
            <v>#DIV/0!</v>
          </cell>
          <cell r="P69" t="e">
            <v>#DIV/0!</v>
          </cell>
          <cell r="Q69" t="e">
            <v>#DIV/0!</v>
          </cell>
          <cell r="R69" t="e">
            <v>#DIV/0!</v>
          </cell>
          <cell r="S69" t="e">
            <v>#DIV/0!</v>
          </cell>
          <cell r="T69" t="e">
            <v>#DIV/0!</v>
          </cell>
        </row>
        <row r="70">
          <cell r="B70" t="str">
            <v>Harga/kg</v>
          </cell>
          <cell r="C70" t="str">
            <v>Rupiah</v>
          </cell>
          <cell r="D70">
            <v>8000</v>
          </cell>
          <cell r="E70">
            <v>15000</v>
          </cell>
          <cell r="F70">
            <v>30000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 t="str">
            <v>Durian</v>
          </cell>
          <cell r="B71" t="str">
            <v>Tan Akhir Trw lalu</v>
          </cell>
          <cell r="C71" t="str">
            <v>Pohon/rumpun</v>
          </cell>
          <cell r="D71">
            <v>18505</v>
          </cell>
          <cell r="E71">
            <v>1834</v>
          </cell>
          <cell r="F71">
            <v>2367</v>
          </cell>
          <cell r="G71">
            <v>12404</v>
          </cell>
          <cell r="H71">
            <v>5302</v>
          </cell>
          <cell r="I71">
            <v>21648</v>
          </cell>
          <cell r="J71">
            <v>0</v>
          </cell>
          <cell r="K71">
            <v>523</v>
          </cell>
          <cell r="L71">
            <v>6094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70</v>
          </cell>
          <cell r="S71">
            <v>0</v>
          </cell>
          <cell r="T71">
            <v>0</v>
          </cell>
        </row>
        <row r="72">
          <cell r="B72" t="str">
            <v>Selama Triwulan</v>
          </cell>
          <cell r="C72" t="str">
            <v>Bongkar</v>
          </cell>
          <cell r="F72">
            <v>63</v>
          </cell>
          <cell r="G72">
            <v>21</v>
          </cell>
          <cell r="I72">
            <v>65</v>
          </cell>
          <cell r="L72">
            <v>68</v>
          </cell>
        </row>
        <row r="73">
          <cell r="C73" t="str">
            <v>Baru</v>
          </cell>
          <cell r="E73">
            <v>200</v>
          </cell>
          <cell r="H73">
            <v>850</v>
          </cell>
          <cell r="I73">
            <v>10</v>
          </cell>
          <cell r="K73">
            <v>10</v>
          </cell>
        </row>
        <row r="74">
          <cell r="B74" t="str">
            <v xml:space="preserve">∑ Tanaman Akhir </v>
          </cell>
          <cell r="C74" t="str">
            <v>Pohon/rumpun</v>
          </cell>
          <cell r="D74">
            <v>18505</v>
          </cell>
          <cell r="E74">
            <v>2034</v>
          </cell>
          <cell r="F74">
            <v>2304</v>
          </cell>
          <cell r="G74">
            <v>12383</v>
          </cell>
          <cell r="H74">
            <v>6152</v>
          </cell>
          <cell r="I74">
            <v>21593</v>
          </cell>
          <cell r="J74">
            <v>0</v>
          </cell>
          <cell r="K74">
            <v>533</v>
          </cell>
          <cell r="L74">
            <v>6026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70</v>
          </cell>
          <cell r="S74">
            <v>0</v>
          </cell>
          <cell r="T74">
            <v>0</v>
          </cell>
        </row>
        <row r="75">
          <cell r="B75" t="str">
            <v>Di Akhir Triwulan</v>
          </cell>
          <cell r="C75" t="str">
            <v>TBM</v>
          </cell>
          <cell r="D75">
            <v>7500</v>
          </cell>
          <cell r="E75">
            <v>2034</v>
          </cell>
          <cell r="F75">
            <v>789</v>
          </cell>
          <cell r="G75">
            <v>1850</v>
          </cell>
          <cell r="H75">
            <v>1908</v>
          </cell>
          <cell r="I75">
            <v>2140</v>
          </cell>
          <cell r="K75">
            <v>300</v>
          </cell>
          <cell r="L75">
            <v>5411</v>
          </cell>
          <cell r="R75">
            <v>70</v>
          </cell>
        </row>
        <row r="76">
          <cell r="C76" t="str">
            <v>TPSM</v>
          </cell>
          <cell r="D76">
            <v>9530</v>
          </cell>
          <cell r="F76">
            <v>1212</v>
          </cell>
          <cell r="G76">
            <v>375</v>
          </cell>
          <cell r="H76">
            <v>1330</v>
          </cell>
          <cell r="I76">
            <v>224</v>
          </cell>
          <cell r="K76">
            <v>220</v>
          </cell>
          <cell r="L76">
            <v>547</v>
          </cell>
        </row>
        <row r="77">
          <cell r="C77" t="str">
            <v>TPBM</v>
          </cell>
          <cell r="D77">
            <v>1460</v>
          </cell>
          <cell r="E77">
            <v>0</v>
          </cell>
          <cell r="F77">
            <v>225</v>
          </cell>
          <cell r="G77">
            <v>10134</v>
          </cell>
          <cell r="H77">
            <v>2914</v>
          </cell>
          <cell r="I77">
            <v>19195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C78" t="str">
            <v>TR</v>
          </cell>
          <cell r="D78">
            <v>15</v>
          </cell>
          <cell r="F78">
            <v>78</v>
          </cell>
          <cell r="G78">
            <v>24</v>
          </cell>
          <cell r="I78">
            <v>34</v>
          </cell>
          <cell r="K78">
            <v>13</v>
          </cell>
          <cell r="L78">
            <v>68</v>
          </cell>
        </row>
        <row r="79">
          <cell r="B79" t="str">
            <v>Produksi</v>
          </cell>
          <cell r="C79" t="str">
            <v>(kuintal)</v>
          </cell>
          <cell r="D79">
            <v>1143</v>
          </cell>
          <cell r="E79">
            <v>0</v>
          </cell>
          <cell r="F79">
            <v>668.25</v>
          </cell>
          <cell r="G79">
            <v>112.5</v>
          </cell>
          <cell r="H79">
            <v>798</v>
          </cell>
          <cell r="I79">
            <v>67.2</v>
          </cell>
          <cell r="J79">
            <v>0</v>
          </cell>
          <cell r="K79">
            <v>1050</v>
          </cell>
          <cell r="L79">
            <v>267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B80" t="str">
            <v>Provitas</v>
          </cell>
          <cell r="C80" t="str">
            <v>(ku/pohon)</v>
          </cell>
          <cell r="D80">
            <v>0.1199370409233998</v>
          </cell>
          <cell r="E80" t="e">
            <v>#DIV/0!</v>
          </cell>
          <cell r="F80">
            <v>0.55136138613861385</v>
          </cell>
          <cell r="G80">
            <v>0.3</v>
          </cell>
          <cell r="H80">
            <v>0.6</v>
          </cell>
          <cell r="I80">
            <v>0.3</v>
          </cell>
          <cell r="J80" t="e">
            <v>#DIV/0!</v>
          </cell>
          <cell r="K80">
            <v>4.7727272727272725</v>
          </cell>
          <cell r="L80">
            <v>0.48811700182815354</v>
          </cell>
          <cell r="M80" t="e">
            <v>#DIV/0!</v>
          </cell>
          <cell r="N80" t="e">
            <v>#DIV/0!</v>
          </cell>
          <cell r="O80" t="e">
            <v>#DIV/0!</v>
          </cell>
          <cell r="P80" t="e">
            <v>#DIV/0!</v>
          </cell>
          <cell r="Q80" t="e">
            <v>#DIV/0!</v>
          </cell>
          <cell r="R80" t="e">
            <v>#DIV/0!</v>
          </cell>
          <cell r="S80" t="e">
            <v>#DIV/0!</v>
          </cell>
          <cell r="T80" t="e">
            <v>#DIV/0!</v>
          </cell>
        </row>
        <row r="81">
          <cell r="B81" t="str">
            <v>Harga/kg</v>
          </cell>
          <cell r="C81" t="str">
            <v>Rupiah</v>
          </cell>
          <cell r="D81">
            <v>50000</v>
          </cell>
          <cell r="E81">
            <v>0</v>
          </cell>
          <cell r="F81">
            <v>50000</v>
          </cell>
          <cell r="G81">
            <v>25000</v>
          </cell>
          <cell r="H81">
            <v>15000</v>
          </cell>
          <cell r="I81">
            <v>50000</v>
          </cell>
          <cell r="J81">
            <v>0</v>
          </cell>
          <cell r="K81">
            <v>50000</v>
          </cell>
          <cell r="L81">
            <v>25000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Jambu Air</v>
          </cell>
          <cell r="B82" t="str">
            <v>Tan Akhir Trw lalu</v>
          </cell>
          <cell r="C82" t="str">
            <v>Pohon/rumpun</v>
          </cell>
          <cell r="D82">
            <v>730</v>
          </cell>
          <cell r="E82">
            <v>500</v>
          </cell>
          <cell r="F82">
            <v>273</v>
          </cell>
          <cell r="G82">
            <v>1724</v>
          </cell>
          <cell r="H82">
            <v>569</v>
          </cell>
          <cell r="I82">
            <v>2757</v>
          </cell>
          <cell r="J82">
            <v>174</v>
          </cell>
          <cell r="K82">
            <v>9600</v>
          </cell>
          <cell r="L82">
            <v>7403</v>
          </cell>
          <cell r="M82">
            <v>1041</v>
          </cell>
          <cell r="N82">
            <v>1315</v>
          </cell>
          <cell r="O82">
            <v>178</v>
          </cell>
          <cell r="P82">
            <v>389</v>
          </cell>
          <cell r="Q82">
            <v>291</v>
          </cell>
          <cell r="R82">
            <v>25</v>
          </cell>
          <cell r="S82">
            <v>180</v>
          </cell>
          <cell r="T82">
            <v>498</v>
          </cell>
        </row>
        <row r="83">
          <cell r="B83" t="str">
            <v>Selama Triwulan</v>
          </cell>
          <cell r="C83" t="str">
            <v>Bongkar</v>
          </cell>
          <cell r="E83">
            <v>2</v>
          </cell>
          <cell r="F83">
            <v>3</v>
          </cell>
          <cell r="G83">
            <v>11</v>
          </cell>
          <cell r="I83">
            <v>3</v>
          </cell>
          <cell r="J83">
            <v>4</v>
          </cell>
          <cell r="K83">
            <v>15</v>
          </cell>
          <cell r="L83">
            <v>45</v>
          </cell>
          <cell r="M83">
            <v>53</v>
          </cell>
          <cell r="O83">
            <v>36</v>
          </cell>
          <cell r="P83">
            <v>17</v>
          </cell>
          <cell r="Q83">
            <v>12</v>
          </cell>
          <cell r="R83">
            <v>2</v>
          </cell>
        </row>
        <row r="84">
          <cell r="C84" t="str">
            <v>Baru</v>
          </cell>
          <cell r="H84">
            <v>41</v>
          </cell>
          <cell r="I84">
            <v>1</v>
          </cell>
          <cell r="P84">
            <v>4</v>
          </cell>
        </row>
        <row r="85">
          <cell r="B85" t="str">
            <v xml:space="preserve">∑ Tanaman Akhir </v>
          </cell>
          <cell r="C85" t="str">
            <v>Pohon/rumpun</v>
          </cell>
          <cell r="D85">
            <v>730</v>
          </cell>
          <cell r="E85">
            <v>498</v>
          </cell>
          <cell r="F85">
            <v>270</v>
          </cell>
          <cell r="G85">
            <v>1713</v>
          </cell>
          <cell r="H85">
            <v>610</v>
          </cell>
          <cell r="I85">
            <v>2755</v>
          </cell>
          <cell r="J85">
            <v>170</v>
          </cell>
          <cell r="K85">
            <v>9585</v>
          </cell>
          <cell r="L85">
            <v>7358</v>
          </cell>
          <cell r="M85">
            <v>988</v>
          </cell>
          <cell r="N85">
            <v>1315</v>
          </cell>
          <cell r="O85">
            <v>142</v>
          </cell>
          <cell r="P85">
            <v>376</v>
          </cell>
          <cell r="Q85">
            <v>279</v>
          </cell>
          <cell r="R85">
            <v>23</v>
          </cell>
          <cell r="S85">
            <v>180</v>
          </cell>
          <cell r="T85">
            <v>498</v>
          </cell>
        </row>
        <row r="86">
          <cell r="B86" t="str">
            <v>Di Akhir Triwulan</v>
          </cell>
          <cell r="C86" t="str">
            <v>TBM</v>
          </cell>
          <cell r="D86">
            <v>115</v>
          </cell>
          <cell r="E86">
            <v>433</v>
          </cell>
          <cell r="F86">
            <v>65</v>
          </cell>
          <cell r="G86">
            <v>920</v>
          </cell>
          <cell r="H86">
            <v>105</v>
          </cell>
          <cell r="I86">
            <v>15</v>
          </cell>
          <cell r="K86">
            <v>300</v>
          </cell>
          <cell r="L86">
            <v>5140</v>
          </cell>
          <cell r="M86">
            <v>559</v>
          </cell>
          <cell r="O86">
            <v>28</v>
          </cell>
          <cell r="P86">
            <v>39</v>
          </cell>
          <cell r="Q86">
            <v>72</v>
          </cell>
          <cell r="R86">
            <v>5</v>
          </cell>
          <cell r="S86">
            <v>50</v>
          </cell>
          <cell r="T86">
            <v>30</v>
          </cell>
        </row>
        <row r="87">
          <cell r="C87" t="str">
            <v>TPSM</v>
          </cell>
          <cell r="D87">
            <v>610</v>
          </cell>
          <cell r="E87">
            <v>65</v>
          </cell>
          <cell r="F87">
            <v>198</v>
          </cell>
          <cell r="H87">
            <v>89</v>
          </cell>
          <cell r="I87">
            <v>150</v>
          </cell>
          <cell r="J87">
            <v>170</v>
          </cell>
          <cell r="K87">
            <v>9250</v>
          </cell>
          <cell r="L87">
            <v>2064</v>
          </cell>
          <cell r="M87">
            <v>429</v>
          </cell>
          <cell r="N87">
            <v>990</v>
          </cell>
          <cell r="O87">
            <v>107</v>
          </cell>
          <cell r="P87">
            <v>337</v>
          </cell>
          <cell r="Q87">
            <v>207</v>
          </cell>
          <cell r="R87">
            <v>18</v>
          </cell>
          <cell r="S87">
            <v>130</v>
          </cell>
          <cell r="T87">
            <v>140</v>
          </cell>
        </row>
        <row r="88">
          <cell r="C88" t="str">
            <v>TPBM</v>
          </cell>
          <cell r="D88">
            <v>0</v>
          </cell>
          <cell r="E88">
            <v>0</v>
          </cell>
          <cell r="F88">
            <v>2</v>
          </cell>
          <cell r="G88">
            <v>770</v>
          </cell>
          <cell r="H88">
            <v>416</v>
          </cell>
          <cell r="I88">
            <v>2577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328</v>
          </cell>
        </row>
        <row r="89">
          <cell r="C89" t="str">
            <v>TR</v>
          </cell>
          <cell r="D89">
            <v>5</v>
          </cell>
          <cell r="F89">
            <v>5</v>
          </cell>
          <cell r="G89">
            <v>23</v>
          </cell>
          <cell r="I89">
            <v>13</v>
          </cell>
          <cell r="K89">
            <v>35</v>
          </cell>
          <cell r="L89">
            <v>154</v>
          </cell>
          <cell r="N89">
            <v>325</v>
          </cell>
          <cell r="O89">
            <v>7</v>
          </cell>
        </row>
        <row r="90">
          <cell r="B90" t="str">
            <v>Produksi</v>
          </cell>
          <cell r="C90" t="str">
            <v>(kuintal)</v>
          </cell>
          <cell r="D90">
            <v>124</v>
          </cell>
          <cell r="E90">
            <v>26</v>
          </cell>
          <cell r="F90">
            <v>35.64</v>
          </cell>
          <cell r="G90">
            <v>0</v>
          </cell>
          <cell r="H90">
            <v>121</v>
          </cell>
          <cell r="I90">
            <v>58.5</v>
          </cell>
          <cell r="J90">
            <v>80</v>
          </cell>
          <cell r="K90">
            <v>710</v>
          </cell>
          <cell r="L90">
            <v>242</v>
          </cell>
          <cell r="M90">
            <v>393.69</v>
          </cell>
          <cell r="N90">
            <v>79.2</v>
          </cell>
          <cell r="O90">
            <v>32</v>
          </cell>
          <cell r="P90">
            <v>118.28</v>
          </cell>
          <cell r="Q90">
            <v>10.35</v>
          </cell>
          <cell r="R90">
            <v>1.06</v>
          </cell>
          <cell r="S90">
            <v>52</v>
          </cell>
          <cell r="T90">
            <v>3</v>
          </cell>
        </row>
        <row r="91">
          <cell r="B91" t="str">
            <v>Provitas</v>
          </cell>
          <cell r="C91" t="str">
            <v>(ku/pohon)</v>
          </cell>
          <cell r="D91">
            <v>0.20327868852459016</v>
          </cell>
          <cell r="E91">
            <v>0.4</v>
          </cell>
          <cell r="F91">
            <v>0.18</v>
          </cell>
          <cell r="G91" t="e">
            <v>#DIV/0!</v>
          </cell>
          <cell r="H91">
            <v>1.3595505617977528</v>
          </cell>
          <cell r="I91">
            <v>0.39</v>
          </cell>
          <cell r="J91">
            <v>0.47058823529411764</v>
          </cell>
          <cell r="K91">
            <v>7.675675675675675E-2</v>
          </cell>
          <cell r="L91">
            <v>0.11724806201550388</v>
          </cell>
          <cell r="M91">
            <v>0.9176923076923077</v>
          </cell>
          <cell r="N91">
            <v>0.08</v>
          </cell>
          <cell r="O91">
            <v>0.29906542056074764</v>
          </cell>
          <cell r="P91">
            <v>0.35097922848664687</v>
          </cell>
          <cell r="Q91">
            <v>4.9999999999999996E-2</v>
          </cell>
          <cell r="R91">
            <v>5.8888888888888893E-2</v>
          </cell>
          <cell r="S91">
            <v>0.4</v>
          </cell>
          <cell r="T91">
            <v>2.1428571428571429E-2</v>
          </cell>
        </row>
        <row r="92">
          <cell r="B92" t="str">
            <v>Harga/kg</v>
          </cell>
          <cell r="C92" t="str">
            <v>Rupiah</v>
          </cell>
          <cell r="D92">
            <v>11000</v>
          </cell>
          <cell r="E92">
            <v>7000</v>
          </cell>
          <cell r="F92">
            <v>20000</v>
          </cell>
          <cell r="G92">
            <v>0</v>
          </cell>
          <cell r="H92">
            <v>6000</v>
          </cell>
          <cell r="I92">
            <v>7500</v>
          </cell>
          <cell r="J92">
            <v>12000</v>
          </cell>
          <cell r="K92">
            <v>12000</v>
          </cell>
          <cell r="L92">
            <v>5000</v>
          </cell>
          <cell r="M92">
            <v>5000</v>
          </cell>
          <cell r="N92">
            <v>4500</v>
          </cell>
          <cell r="O92">
            <v>3500</v>
          </cell>
          <cell r="P92">
            <v>7000</v>
          </cell>
          <cell r="Q92">
            <v>4000</v>
          </cell>
          <cell r="R92">
            <v>6000</v>
          </cell>
          <cell r="S92">
            <v>6000</v>
          </cell>
          <cell r="T92">
            <v>4000</v>
          </cell>
        </row>
        <row r="93">
          <cell r="A93" t="str">
            <v>Jambu Biji</v>
          </cell>
          <cell r="B93" t="str">
            <v>Tan Akhir Trw lalu</v>
          </cell>
          <cell r="C93" t="str">
            <v>Pohon/rumpun</v>
          </cell>
          <cell r="D93">
            <v>480</v>
          </cell>
          <cell r="E93">
            <v>1325</v>
          </cell>
          <cell r="F93">
            <v>414</v>
          </cell>
          <cell r="G93">
            <v>2770</v>
          </cell>
          <cell r="H93">
            <v>598</v>
          </cell>
          <cell r="I93">
            <v>4070</v>
          </cell>
          <cell r="J93">
            <v>785</v>
          </cell>
          <cell r="K93">
            <v>12050</v>
          </cell>
          <cell r="L93">
            <v>9385</v>
          </cell>
          <cell r="M93">
            <v>891</v>
          </cell>
          <cell r="N93">
            <v>365</v>
          </cell>
          <cell r="O93">
            <v>319</v>
          </cell>
          <cell r="P93">
            <v>566</v>
          </cell>
          <cell r="Q93">
            <v>77</v>
          </cell>
          <cell r="R93">
            <v>78</v>
          </cell>
          <cell r="S93">
            <v>464</v>
          </cell>
          <cell r="T93">
            <v>82</v>
          </cell>
        </row>
        <row r="94">
          <cell r="B94" t="str">
            <v>Selama Triwulan</v>
          </cell>
          <cell r="C94" t="str">
            <v>Bongkar</v>
          </cell>
          <cell r="F94">
            <v>12</v>
          </cell>
          <cell r="G94">
            <v>9</v>
          </cell>
          <cell r="I94">
            <v>10</v>
          </cell>
          <cell r="K94">
            <v>50</v>
          </cell>
          <cell r="L94">
            <v>94</v>
          </cell>
          <cell r="M94">
            <v>53</v>
          </cell>
          <cell r="O94">
            <v>19</v>
          </cell>
          <cell r="P94">
            <v>6</v>
          </cell>
          <cell r="Q94">
            <v>5</v>
          </cell>
          <cell r="R94">
            <v>3</v>
          </cell>
        </row>
        <row r="95">
          <cell r="C95" t="str">
            <v>Baru</v>
          </cell>
          <cell r="H95">
            <v>34</v>
          </cell>
          <cell r="N95">
            <v>10</v>
          </cell>
          <cell r="P95">
            <v>3</v>
          </cell>
        </row>
        <row r="96">
          <cell r="B96" t="str">
            <v xml:space="preserve">∑ Tanaman Akhir </v>
          </cell>
          <cell r="C96" t="str">
            <v>Pohon/rumpun</v>
          </cell>
          <cell r="D96">
            <v>480</v>
          </cell>
          <cell r="E96">
            <v>1325</v>
          </cell>
          <cell r="F96">
            <v>402</v>
          </cell>
          <cell r="G96">
            <v>2761</v>
          </cell>
          <cell r="H96">
            <v>632</v>
          </cell>
          <cell r="I96">
            <v>4060</v>
          </cell>
          <cell r="J96">
            <v>785</v>
          </cell>
          <cell r="K96">
            <v>12000</v>
          </cell>
          <cell r="L96">
            <v>9291</v>
          </cell>
          <cell r="M96">
            <v>838</v>
          </cell>
          <cell r="N96">
            <v>375</v>
          </cell>
          <cell r="O96">
            <v>300</v>
          </cell>
          <cell r="P96">
            <v>563</v>
          </cell>
          <cell r="Q96">
            <v>72</v>
          </cell>
          <cell r="R96">
            <v>75</v>
          </cell>
          <cell r="S96">
            <v>464</v>
          </cell>
          <cell r="T96">
            <v>82</v>
          </cell>
        </row>
        <row r="97">
          <cell r="B97" t="str">
            <v>Di Akhir Triwulan</v>
          </cell>
          <cell r="C97" t="str">
            <v>TBM</v>
          </cell>
          <cell r="D97">
            <v>60</v>
          </cell>
          <cell r="E97">
            <v>1325</v>
          </cell>
          <cell r="F97">
            <v>60</v>
          </cell>
          <cell r="G97">
            <v>1321</v>
          </cell>
          <cell r="H97">
            <v>233</v>
          </cell>
          <cell r="K97">
            <v>300</v>
          </cell>
          <cell r="L97">
            <v>6307</v>
          </cell>
          <cell r="M97">
            <v>464</v>
          </cell>
          <cell r="N97">
            <v>60</v>
          </cell>
          <cell r="O97">
            <v>60</v>
          </cell>
          <cell r="P97">
            <v>185</v>
          </cell>
          <cell r="Q97">
            <v>20</v>
          </cell>
          <cell r="R97">
            <v>10</v>
          </cell>
          <cell r="S97">
            <v>224</v>
          </cell>
        </row>
        <row r="98">
          <cell r="C98" t="str">
            <v>TPSM</v>
          </cell>
          <cell r="D98">
            <v>412</v>
          </cell>
          <cell r="F98">
            <v>331</v>
          </cell>
          <cell r="H98">
            <v>399</v>
          </cell>
          <cell r="I98">
            <v>188</v>
          </cell>
          <cell r="J98">
            <v>785</v>
          </cell>
          <cell r="K98">
            <v>11650</v>
          </cell>
          <cell r="L98">
            <v>2812</v>
          </cell>
          <cell r="M98">
            <v>374</v>
          </cell>
          <cell r="N98">
            <v>315</v>
          </cell>
          <cell r="O98">
            <v>225</v>
          </cell>
          <cell r="P98">
            <v>378</v>
          </cell>
          <cell r="Q98">
            <v>52</v>
          </cell>
          <cell r="R98">
            <v>65</v>
          </cell>
          <cell r="S98">
            <v>240</v>
          </cell>
          <cell r="T98">
            <v>12</v>
          </cell>
        </row>
        <row r="99">
          <cell r="C99" t="str">
            <v>TPBM</v>
          </cell>
          <cell r="D99">
            <v>0</v>
          </cell>
          <cell r="E99">
            <v>0</v>
          </cell>
          <cell r="F99">
            <v>9</v>
          </cell>
          <cell r="G99">
            <v>1428</v>
          </cell>
          <cell r="H99">
            <v>0</v>
          </cell>
          <cell r="I99">
            <v>3847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70</v>
          </cell>
        </row>
        <row r="100">
          <cell r="C100" t="str">
            <v>TR</v>
          </cell>
          <cell r="D100">
            <v>8</v>
          </cell>
          <cell r="F100">
            <v>2</v>
          </cell>
          <cell r="G100">
            <v>12</v>
          </cell>
          <cell r="I100">
            <v>25</v>
          </cell>
          <cell r="K100">
            <v>50</v>
          </cell>
          <cell r="L100">
            <v>172</v>
          </cell>
          <cell r="O100">
            <v>15</v>
          </cell>
        </row>
        <row r="101">
          <cell r="B101" t="str">
            <v>Produksi</v>
          </cell>
          <cell r="C101" t="str">
            <v>(kuintal)</v>
          </cell>
          <cell r="D101">
            <v>3186</v>
          </cell>
          <cell r="E101">
            <v>0</v>
          </cell>
          <cell r="F101">
            <v>165.5</v>
          </cell>
          <cell r="G101">
            <v>0</v>
          </cell>
          <cell r="H101">
            <v>112</v>
          </cell>
          <cell r="I101">
            <v>45.11</v>
          </cell>
          <cell r="J101">
            <v>400</v>
          </cell>
          <cell r="K101">
            <v>680</v>
          </cell>
          <cell r="L101">
            <v>217</v>
          </cell>
          <cell r="M101">
            <v>693.55</v>
          </cell>
          <cell r="N101">
            <v>20</v>
          </cell>
          <cell r="O101">
            <v>45</v>
          </cell>
          <cell r="P101">
            <v>191.67</v>
          </cell>
          <cell r="Q101">
            <v>2.6</v>
          </cell>
          <cell r="R101">
            <v>0.23</v>
          </cell>
          <cell r="S101">
            <v>48</v>
          </cell>
          <cell r="T101">
            <v>1</v>
          </cell>
        </row>
        <row r="102">
          <cell r="B102" t="str">
            <v>Provitas</v>
          </cell>
          <cell r="C102" t="str">
            <v>(ku/pohon)</v>
          </cell>
          <cell r="D102">
            <v>7.733009708737864</v>
          </cell>
          <cell r="E102" t="e">
            <v>#DIV/0!</v>
          </cell>
          <cell r="F102">
            <v>0.5</v>
          </cell>
          <cell r="G102" t="e">
            <v>#DIV/0!</v>
          </cell>
          <cell r="H102">
            <v>0.2807017543859649</v>
          </cell>
          <cell r="I102">
            <v>0.23994680851063829</v>
          </cell>
          <cell r="J102">
            <v>0.50955414012738853</v>
          </cell>
          <cell r="K102">
            <v>5.8369098712446353E-2</v>
          </cell>
          <cell r="L102">
            <v>7.7169274537695592E-2</v>
          </cell>
          <cell r="M102">
            <v>1.8544117647058822</v>
          </cell>
          <cell r="N102">
            <v>6.3492063492063489E-2</v>
          </cell>
          <cell r="O102">
            <v>0.2</v>
          </cell>
          <cell r="P102">
            <v>0.50706349206349199</v>
          </cell>
          <cell r="Q102">
            <v>0.05</v>
          </cell>
          <cell r="R102">
            <v>3.5384615384615385E-3</v>
          </cell>
          <cell r="S102">
            <v>0.2</v>
          </cell>
          <cell r="T102">
            <v>8.3333333333333329E-2</v>
          </cell>
        </row>
        <row r="103">
          <cell r="B103" t="str">
            <v>Harga/kg</v>
          </cell>
          <cell r="C103" t="str">
            <v>Rupiah</v>
          </cell>
          <cell r="D103">
            <v>20000</v>
          </cell>
          <cell r="E103">
            <v>0</v>
          </cell>
          <cell r="F103">
            <v>15000</v>
          </cell>
          <cell r="G103">
            <v>0</v>
          </cell>
          <cell r="H103">
            <v>10000</v>
          </cell>
          <cell r="I103">
            <v>8000</v>
          </cell>
          <cell r="J103">
            <v>7000</v>
          </cell>
          <cell r="K103">
            <v>10000</v>
          </cell>
          <cell r="L103">
            <v>5000</v>
          </cell>
          <cell r="M103">
            <v>10000</v>
          </cell>
          <cell r="N103">
            <v>6000</v>
          </cell>
          <cell r="O103">
            <v>3500</v>
          </cell>
          <cell r="P103">
            <v>10000</v>
          </cell>
          <cell r="Q103">
            <v>6000</v>
          </cell>
          <cell r="R103">
            <v>9000</v>
          </cell>
          <cell r="S103">
            <v>6500</v>
          </cell>
          <cell r="T103">
            <v>4000</v>
          </cell>
        </row>
        <row r="104">
          <cell r="A104" t="str">
            <v>Jeruk Lemon</v>
          </cell>
          <cell r="B104" t="str">
            <v>Tan Akhir Trw lalu</v>
          </cell>
          <cell r="C104" t="str">
            <v>Pohon/rumpun</v>
          </cell>
          <cell r="D104">
            <v>0</v>
          </cell>
          <cell r="E104">
            <v>185</v>
          </cell>
          <cell r="F104">
            <v>0</v>
          </cell>
          <cell r="G104">
            <v>4133</v>
          </cell>
          <cell r="H104">
            <v>0</v>
          </cell>
          <cell r="I104">
            <v>6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B105" t="str">
            <v>Selama Triwulan</v>
          </cell>
          <cell r="C105" t="str">
            <v>Bongkar</v>
          </cell>
          <cell r="G105">
            <v>12</v>
          </cell>
        </row>
        <row r="106">
          <cell r="C106" t="str">
            <v>Baru</v>
          </cell>
          <cell r="I106">
            <v>4</v>
          </cell>
        </row>
        <row r="107">
          <cell r="B107" t="str">
            <v xml:space="preserve">∑ Tanaman Akhir </v>
          </cell>
          <cell r="C107" t="str">
            <v>Pohon/rumpun</v>
          </cell>
          <cell r="D107">
            <v>0</v>
          </cell>
          <cell r="E107">
            <v>185</v>
          </cell>
          <cell r="F107">
            <v>0</v>
          </cell>
          <cell r="G107">
            <v>4121</v>
          </cell>
          <cell r="H107">
            <v>0</v>
          </cell>
          <cell r="I107">
            <v>10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Di Akhir Triwulan</v>
          </cell>
          <cell r="C108" t="str">
            <v>TBM</v>
          </cell>
          <cell r="E108">
            <v>160</v>
          </cell>
          <cell r="G108">
            <v>2575</v>
          </cell>
          <cell r="I108">
            <v>6</v>
          </cell>
        </row>
        <row r="109">
          <cell r="C109" t="str">
            <v>TPSM</v>
          </cell>
          <cell r="E109">
            <v>25</v>
          </cell>
          <cell r="G109">
            <v>1215</v>
          </cell>
          <cell r="I109">
            <v>1</v>
          </cell>
        </row>
        <row r="110">
          <cell r="C110" t="str">
            <v>TPBM</v>
          </cell>
          <cell r="D110">
            <v>0</v>
          </cell>
          <cell r="E110">
            <v>0</v>
          </cell>
          <cell r="F110">
            <v>0</v>
          </cell>
          <cell r="G110">
            <v>331</v>
          </cell>
          <cell r="H110">
            <v>0</v>
          </cell>
          <cell r="I110">
            <v>3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C111" t="str">
            <v>TR</v>
          </cell>
        </row>
        <row r="112">
          <cell r="B112" t="str">
            <v>Produksi</v>
          </cell>
          <cell r="C112" t="str">
            <v>(kuintal)</v>
          </cell>
          <cell r="D112">
            <v>0</v>
          </cell>
          <cell r="E112">
            <v>18</v>
          </cell>
          <cell r="F112">
            <v>0</v>
          </cell>
          <cell r="G112">
            <v>72.900000000000006</v>
          </cell>
          <cell r="H112">
            <v>0</v>
          </cell>
          <cell r="I112">
            <v>0.06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B113" t="str">
            <v>Provitas</v>
          </cell>
          <cell r="C113" t="str">
            <v>(ku/pohon)</v>
          </cell>
          <cell r="D113" t="e">
            <v>#DIV/0!</v>
          </cell>
          <cell r="E113">
            <v>0.72</v>
          </cell>
          <cell r="F113" t="e">
            <v>#DIV/0!</v>
          </cell>
          <cell r="G113">
            <v>6.0000000000000005E-2</v>
          </cell>
          <cell r="H113" t="e">
            <v>#DIV/0!</v>
          </cell>
          <cell r="I113">
            <v>0.06</v>
          </cell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  <cell r="O113" t="e">
            <v>#DIV/0!</v>
          </cell>
          <cell r="P113" t="e">
            <v>#DIV/0!</v>
          </cell>
          <cell r="Q113" t="e">
            <v>#DIV/0!</v>
          </cell>
          <cell r="R113" t="e">
            <v>#DIV/0!</v>
          </cell>
          <cell r="S113" t="e">
            <v>#DIV/0!</v>
          </cell>
          <cell r="T113" t="e">
            <v>#DIV/0!</v>
          </cell>
        </row>
        <row r="114">
          <cell r="B114" t="str">
            <v>Harga/kg</v>
          </cell>
          <cell r="C114" t="str">
            <v>Rupiah</v>
          </cell>
          <cell r="D114">
            <v>0</v>
          </cell>
          <cell r="E114">
            <v>10000</v>
          </cell>
          <cell r="F114">
            <v>0</v>
          </cell>
          <cell r="G114">
            <v>12000</v>
          </cell>
          <cell r="H114">
            <v>0</v>
          </cell>
          <cell r="I114">
            <v>12000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Jeruk Pamelo</v>
          </cell>
          <cell r="B115" t="str">
            <v>Tan Akhir Trw lalu</v>
          </cell>
          <cell r="C115" t="str">
            <v>Pohon/rumpun</v>
          </cell>
          <cell r="D115">
            <v>0</v>
          </cell>
          <cell r="E115">
            <v>230</v>
          </cell>
          <cell r="F115">
            <v>0</v>
          </cell>
          <cell r="G115">
            <v>222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50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>Selama Triwulan</v>
          </cell>
          <cell r="C116" t="str">
            <v>Bongkar</v>
          </cell>
          <cell r="G116">
            <v>4</v>
          </cell>
        </row>
        <row r="117">
          <cell r="C117" t="str">
            <v>Baru</v>
          </cell>
        </row>
        <row r="118">
          <cell r="B118" t="str">
            <v xml:space="preserve">∑ Tanaman Akhir </v>
          </cell>
          <cell r="C118" t="str">
            <v>Pohon/rumpun</v>
          </cell>
          <cell r="D118">
            <v>0</v>
          </cell>
          <cell r="E118">
            <v>230</v>
          </cell>
          <cell r="F118">
            <v>0</v>
          </cell>
          <cell r="G118">
            <v>218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Di Akhir Triwulan</v>
          </cell>
          <cell r="C119" t="str">
            <v>TBM</v>
          </cell>
          <cell r="E119">
            <v>230</v>
          </cell>
          <cell r="G119">
            <v>175</v>
          </cell>
          <cell r="L119">
            <v>24</v>
          </cell>
        </row>
        <row r="120">
          <cell r="C120" t="str">
            <v>TPSM</v>
          </cell>
          <cell r="L120">
            <v>26</v>
          </cell>
        </row>
        <row r="121">
          <cell r="C121" t="str">
            <v>TPBM</v>
          </cell>
          <cell r="D121">
            <v>0</v>
          </cell>
          <cell r="E121">
            <v>0</v>
          </cell>
          <cell r="F121">
            <v>0</v>
          </cell>
          <cell r="G121">
            <v>27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C122" t="str">
            <v>TR</v>
          </cell>
          <cell r="G122">
            <v>16</v>
          </cell>
        </row>
        <row r="123">
          <cell r="B123" t="str">
            <v>Produksi</v>
          </cell>
          <cell r="C123" t="str">
            <v>(kuintal)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8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B124" t="str">
            <v>Provitas</v>
          </cell>
          <cell r="C124" t="str">
            <v>(ku/pohon)</v>
          </cell>
          <cell r="D124" t="e">
            <v>#DIV/0!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>
            <v>0.30769230769230771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  <cell r="R124" t="e">
            <v>#DIV/0!</v>
          </cell>
          <cell r="S124" t="e">
            <v>#DIV/0!</v>
          </cell>
          <cell r="T124" t="e">
            <v>#DIV/0!</v>
          </cell>
        </row>
        <row r="125">
          <cell r="B125" t="str">
            <v>Harga/kg</v>
          </cell>
          <cell r="C125" t="str">
            <v>Rupiah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10000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 t="str">
            <v>Jeruk Siam/Keprok</v>
          </cell>
          <cell r="B126" t="str">
            <v>Tan Akhir Trw lalu</v>
          </cell>
          <cell r="C126" t="str">
            <v>Pohon/rumpun</v>
          </cell>
          <cell r="D126">
            <v>186</v>
          </cell>
          <cell r="E126">
            <v>435</v>
          </cell>
          <cell r="F126">
            <v>0</v>
          </cell>
          <cell r="G126">
            <v>821</v>
          </cell>
          <cell r="H126">
            <v>1059</v>
          </cell>
          <cell r="I126">
            <v>336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B127" t="str">
            <v>Selama Triwulan</v>
          </cell>
          <cell r="C127" t="str">
            <v>Bongkar</v>
          </cell>
          <cell r="G127">
            <v>8</v>
          </cell>
          <cell r="I127">
            <v>4</v>
          </cell>
        </row>
        <row r="128">
          <cell r="C128" t="str">
            <v>Baru</v>
          </cell>
        </row>
        <row r="129">
          <cell r="B129" t="str">
            <v xml:space="preserve">∑ Tanaman Akhir </v>
          </cell>
          <cell r="C129" t="str">
            <v>Pohon/rumpun</v>
          </cell>
          <cell r="D129">
            <v>186</v>
          </cell>
          <cell r="E129">
            <v>435</v>
          </cell>
          <cell r="F129">
            <v>0</v>
          </cell>
          <cell r="G129">
            <v>813</v>
          </cell>
          <cell r="H129">
            <v>1059</v>
          </cell>
          <cell r="I129">
            <v>332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B130" t="str">
            <v>Di Akhir Triwulan</v>
          </cell>
          <cell r="C130" t="str">
            <v>TBM</v>
          </cell>
          <cell r="D130">
            <v>56</v>
          </cell>
          <cell r="E130">
            <v>435</v>
          </cell>
          <cell r="G130">
            <v>185</v>
          </cell>
          <cell r="H130">
            <v>700</v>
          </cell>
          <cell r="I130">
            <v>176</v>
          </cell>
        </row>
        <row r="131">
          <cell r="C131" t="str">
            <v>TPSM</v>
          </cell>
          <cell r="D131">
            <v>120</v>
          </cell>
          <cell r="H131">
            <v>72</v>
          </cell>
          <cell r="I131">
            <v>55</v>
          </cell>
        </row>
        <row r="132">
          <cell r="C132" t="str">
            <v>TPBM</v>
          </cell>
          <cell r="D132">
            <v>0</v>
          </cell>
          <cell r="E132">
            <v>0</v>
          </cell>
          <cell r="F132">
            <v>0</v>
          </cell>
          <cell r="G132">
            <v>613</v>
          </cell>
          <cell r="H132">
            <v>287</v>
          </cell>
          <cell r="I132">
            <v>101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C133" t="str">
            <v>TR</v>
          </cell>
          <cell r="D133">
            <v>10</v>
          </cell>
          <cell r="G133">
            <v>15</v>
          </cell>
        </row>
        <row r="134">
          <cell r="B134" t="str">
            <v>Produksi</v>
          </cell>
          <cell r="C134" t="str">
            <v>(kuintal)</v>
          </cell>
          <cell r="D134">
            <v>12</v>
          </cell>
          <cell r="E134">
            <v>0</v>
          </cell>
          <cell r="F134">
            <v>0</v>
          </cell>
          <cell r="G134">
            <v>0</v>
          </cell>
          <cell r="H134">
            <v>36</v>
          </cell>
          <cell r="I134">
            <v>7.8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B135" t="str">
            <v>Provitas</v>
          </cell>
          <cell r="C135" t="str">
            <v>(ku/pohon)</v>
          </cell>
          <cell r="D135">
            <v>0.1</v>
          </cell>
          <cell r="E135" t="e">
            <v>#DIV/0!</v>
          </cell>
          <cell r="F135" t="e">
            <v>#DIV/0!</v>
          </cell>
          <cell r="G135" t="e">
            <v>#DIV/0!</v>
          </cell>
          <cell r="H135">
            <v>0.5</v>
          </cell>
          <cell r="I135">
            <v>0.14181818181818182</v>
          </cell>
          <cell r="J135" t="e">
            <v>#DIV/0!</v>
          </cell>
          <cell r="K135" t="e">
            <v>#DIV/0!</v>
          </cell>
          <cell r="L135" t="e">
            <v>#DIV/0!</v>
          </cell>
          <cell r="M135" t="e">
            <v>#DIV/0!</v>
          </cell>
          <cell r="N135" t="e">
            <v>#DIV/0!</v>
          </cell>
          <cell r="O135" t="e">
            <v>#DIV/0!</v>
          </cell>
          <cell r="P135" t="e">
            <v>#DIV/0!</v>
          </cell>
          <cell r="Q135" t="e">
            <v>#DIV/0!</v>
          </cell>
          <cell r="R135" t="e">
            <v>#DIV/0!</v>
          </cell>
          <cell r="S135" t="e">
            <v>#DIV/0!</v>
          </cell>
          <cell r="T135" t="e">
            <v>#DIV/0!</v>
          </cell>
        </row>
        <row r="136">
          <cell r="B136" t="str">
            <v>Harga/kg</v>
          </cell>
          <cell r="C136" t="str">
            <v>Rupiah</v>
          </cell>
          <cell r="D136">
            <v>10000</v>
          </cell>
          <cell r="E136">
            <v>0</v>
          </cell>
          <cell r="F136">
            <v>0</v>
          </cell>
          <cell r="G136">
            <v>0</v>
          </cell>
          <cell r="H136">
            <v>10000</v>
          </cell>
          <cell r="I136">
            <v>10000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Lengkeng</v>
          </cell>
          <cell r="B137" t="str">
            <v>Tan Akhir Trw lalu</v>
          </cell>
          <cell r="C137" t="str">
            <v>Pohon/rumpun</v>
          </cell>
          <cell r="D137">
            <v>400</v>
          </cell>
          <cell r="E137">
            <v>600</v>
          </cell>
          <cell r="F137">
            <v>2152</v>
          </cell>
          <cell r="G137">
            <v>1899</v>
          </cell>
          <cell r="H137">
            <v>3824</v>
          </cell>
          <cell r="I137">
            <v>11573</v>
          </cell>
          <cell r="J137">
            <v>8645</v>
          </cell>
          <cell r="K137">
            <v>150</v>
          </cell>
          <cell r="L137">
            <v>689</v>
          </cell>
          <cell r="M137">
            <v>0</v>
          </cell>
          <cell r="N137">
            <v>0</v>
          </cell>
          <cell r="O137">
            <v>62</v>
          </cell>
          <cell r="P137">
            <v>5174</v>
          </cell>
          <cell r="Q137">
            <v>15</v>
          </cell>
          <cell r="R137">
            <v>0</v>
          </cell>
          <cell r="S137">
            <v>105</v>
          </cell>
          <cell r="T137">
            <v>0</v>
          </cell>
        </row>
        <row r="138">
          <cell r="B138" t="str">
            <v>Selama Triwulan</v>
          </cell>
          <cell r="C138" t="str">
            <v>Bongkar</v>
          </cell>
          <cell r="F138">
            <v>67</v>
          </cell>
          <cell r="G138">
            <v>23</v>
          </cell>
          <cell r="I138">
            <v>2</v>
          </cell>
          <cell r="L138">
            <v>3</v>
          </cell>
          <cell r="O138">
            <v>12</v>
          </cell>
          <cell r="P138">
            <v>4</v>
          </cell>
        </row>
        <row r="139">
          <cell r="C139" t="str">
            <v>Baru</v>
          </cell>
          <cell r="E139">
            <v>5</v>
          </cell>
          <cell r="G139">
            <v>3</v>
          </cell>
          <cell r="H139">
            <v>225</v>
          </cell>
          <cell r="P139">
            <v>6</v>
          </cell>
        </row>
        <row r="140">
          <cell r="B140" t="str">
            <v xml:space="preserve">∑ Tanaman Akhir </v>
          </cell>
          <cell r="C140" t="str">
            <v>Pohon/rumpun</v>
          </cell>
          <cell r="D140">
            <v>400</v>
          </cell>
          <cell r="E140">
            <v>605</v>
          </cell>
          <cell r="F140">
            <v>2085</v>
          </cell>
          <cell r="G140">
            <v>1879</v>
          </cell>
          <cell r="H140">
            <v>4049</v>
          </cell>
          <cell r="I140">
            <v>11571</v>
          </cell>
          <cell r="J140">
            <v>8645</v>
          </cell>
          <cell r="K140">
            <v>150</v>
          </cell>
          <cell r="L140">
            <v>686</v>
          </cell>
          <cell r="M140">
            <v>0</v>
          </cell>
          <cell r="N140">
            <v>0</v>
          </cell>
          <cell r="O140">
            <v>50</v>
          </cell>
          <cell r="P140">
            <v>5176</v>
          </cell>
          <cell r="Q140">
            <v>15</v>
          </cell>
          <cell r="R140">
            <v>0</v>
          </cell>
          <cell r="S140">
            <v>105</v>
          </cell>
          <cell r="T140">
            <v>0</v>
          </cell>
        </row>
        <row r="141">
          <cell r="B141" t="str">
            <v>Di Akhir Triwulan</v>
          </cell>
          <cell r="C141" t="str">
            <v>TBM</v>
          </cell>
          <cell r="D141">
            <v>194</v>
          </cell>
          <cell r="E141">
            <v>536</v>
          </cell>
          <cell r="F141">
            <v>1119</v>
          </cell>
          <cell r="G141">
            <v>1730</v>
          </cell>
          <cell r="H141">
            <v>3824</v>
          </cell>
          <cell r="I141">
            <v>10650</v>
          </cell>
          <cell r="K141">
            <v>60</v>
          </cell>
          <cell r="L141">
            <v>332</v>
          </cell>
          <cell r="O141">
            <v>10</v>
          </cell>
          <cell r="P141">
            <v>911</v>
          </cell>
          <cell r="Q141">
            <v>15</v>
          </cell>
          <cell r="S141">
            <v>105</v>
          </cell>
        </row>
        <row r="142">
          <cell r="C142" t="str">
            <v>TPSM</v>
          </cell>
          <cell r="D142">
            <v>200</v>
          </cell>
          <cell r="E142">
            <v>69</v>
          </cell>
          <cell r="F142">
            <v>363</v>
          </cell>
          <cell r="J142">
            <v>8645</v>
          </cell>
          <cell r="K142">
            <v>85</v>
          </cell>
          <cell r="L142">
            <v>328</v>
          </cell>
          <cell r="O142">
            <v>37</v>
          </cell>
          <cell r="P142">
            <v>4261</v>
          </cell>
        </row>
        <row r="143">
          <cell r="C143" t="str">
            <v>TPBM</v>
          </cell>
          <cell r="D143">
            <v>0</v>
          </cell>
          <cell r="E143">
            <v>0</v>
          </cell>
          <cell r="F143">
            <v>534</v>
          </cell>
          <cell r="G143">
            <v>145</v>
          </cell>
          <cell r="H143">
            <v>225</v>
          </cell>
          <cell r="I143">
            <v>921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C144" t="str">
            <v>TR</v>
          </cell>
          <cell r="D144">
            <v>6</v>
          </cell>
          <cell r="F144">
            <v>69</v>
          </cell>
          <cell r="G144">
            <v>4</v>
          </cell>
          <cell r="K144">
            <v>5</v>
          </cell>
          <cell r="L144">
            <v>26</v>
          </cell>
          <cell r="O144">
            <v>2</v>
          </cell>
          <cell r="P144">
            <v>4</v>
          </cell>
        </row>
        <row r="145">
          <cell r="B145" t="str">
            <v>Produksi</v>
          </cell>
          <cell r="C145" t="str">
            <v>(kuintal)</v>
          </cell>
          <cell r="D145">
            <v>20</v>
          </cell>
          <cell r="E145">
            <v>27</v>
          </cell>
          <cell r="F145">
            <v>363</v>
          </cell>
          <cell r="G145">
            <v>0</v>
          </cell>
          <cell r="H145">
            <v>0</v>
          </cell>
          <cell r="I145">
            <v>0</v>
          </cell>
          <cell r="J145">
            <v>10374</v>
          </cell>
          <cell r="K145">
            <v>81</v>
          </cell>
          <cell r="L145">
            <v>26</v>
          </cell>
          <cell r="M145">
            <v>0</v>
          </cell>
          <cell r="N145">
            <v>0</v>
          </cell>
          <cell r="O145">
            <v>18.600000000000001</v>
          </cell>
          <cell r="P145">
            <v>146.71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B146" t="str">
            <v>Provitas</v>
          </cell>
          <cell r="C146" t="str">
            <v>(ku/pohon)</v>
          </cell>
          <cell r="D146">
            <v>0.1</v>
          </cell>
          <cell r="E146">
            <v>0.39130434782608697</v>
          </cell>
          <cell r="F146">
            <v>1</v>
          </cell>
          <cell r="G146" t="e">
            <v>#DIV/0!</v>
          </cell>
          <cell r="H146" t="e">
            <v>#DIV/0!</v>
          </cell>
          <cell r="I146" t="e">
            <v>#DIV/0!</v>
          </cell>
          <cell r="J146">
            <v>1.2</v>
          </cell>
          <cell r="K146">
            <v>0.95294117647058818</v>
          </cell>
          <cell r="L146">
            <v>7.926829268292683E-2</v>
          </cell>
          <cell r="M146" t="e">
            <v>#DIV/0!</v>
          </cell>
          <cell r="N146" t="e">
            <v>#DIV/0!</v>
          </cell>
          <cell r="O146">
            <v>0.50270270270270279</v>
          </cell>
          <cell r="P146">
            <v>3.443088476883361E-2</v>
          </cell>
          <cell r="Q146" t="e">
            <v>#DIV/0!</v>
          </cell>
          <cell r="R146" t="e">
            <v>#DIV/0!</v>
          </cell>
          <cell r="S146" t="e">
            <v>#DIV/0!</v>
          </cell>
          <cell r="T146" t="e">
            <v>#DIV/0!</v>
          </cell>
        </row>
        <row r="147">
          <cell r="B147" t="str">
            <v>Harga/kg</v>
          </cell>
          <cell r="C147" t="str">
            <v>Rupiah</v>
          </cell>
          <cell r="D147">
            <v>28000</v>
          </cell>
          <cell r="E147">
            <v>25000</v>
          </cell>
          <cell r="F147">
            <v>50000</v>
          </cell>
          <cell r="G147">
            <v>0</v>
          </cell>
          <cell r="H147">
            <v>0</v>
          </cell>
          <cell r="I147">
            <v>0</v>
          </cell>
          <cell r="J147">
            <v>40000</v>
          </cell>
          <cell r="K147">
            <v>20000</v>
          </cell>
          <cell r="L147">
            <v>20000</v>
          </cell>
          <cell r="M147">
            <v>0</v>
          </cell>
          <cell r="N147">
            <v>0</v>
          </cell>
          <cell r="O147">
            <v>50000</v>
          </cell>
          <cell r="P147">
            <v>30000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 t="str">
            <v>Mangga</v>
          </cell>
          <cell r="B148" t="str">
            <v>Tan Akhir Trw lalu</v>
          </cell>
          <cell r="C148" t="str">
            <v>Pohon/rumpun</v>
          </cell>
          <cell r="D148">
            <v>5000</v>
          </cell>
          <cell r="E148">
            <v>29571</v>
          </cell>
          <cell r="F148">
            <v>10795</v>
          </cell>
          <cell r="G148">
            <v>16164</v>
          </cell>
          <cell r="H148">
            <v>7239</v>
          </cell>
          <cell r="I148">
            <v>18935</v>
          </cell>
          <cell r="J148">
            <v>9970</v>
          </cell>
          <cell r="K148">
            <v>44900</v>
          </cell>
          <cell r="L148">
            <v>93471</v>
          </cell>
          <cell r="M148">
            <v>45700</v>
          </cell>
          <cell r="N148">
            <v>5850</v>
          </cell>
          <cell r="O148">
            <v>2120</v>
          </cell>
          <cell r="P148">
            <v>23354</v>
          </cell>
          <cell r="Q148">
            <v>7843</v>
          </cell>
          <cell r="R148">
            <v>5408</v>
          </cell>
          <cell r="S148">
            <v>985</v>
          </cell>
          <cell r="T148">
            <v>28995</v>
          </cell>
        </row>
        <row r="149">
          <cell r="B149" t="str">
            <v>Selama Triwulan</v>
          </cell>
          <cell r="C149" t="str">
            <v>Bongkar</v>
          </cell>
          <cell r="F149">
            <v>78</v>
          </cell>
          <cell r="G149">
            <v>54</v>
          </cell>
          <cell r="I149">
            <v>48</v>
          </cell>
          <cell r="K149">
            <v>200</v>
          </cell>
          <cell r="L149">
            <v>297</v>
          </cell>
          <cell r="M149">
            <v>92</v>
          </cell>
          <cell r="O149">
            <v>636</v>
          </cell>
          <cell r="P149">
            <v>6</v>
          </cell>
          <cell r="Q149">
            <v>217</v>
          </cell>
          <cell r="R149">
            <v>18</v>
          </cell>
        </row>
        <row r="150">
          <cell r="C150" t="str">
            <v>Baru</v>
          </cell>
          <cell r="E150">
            <v>12</v>
          </cell>
          <cell r="G150">
            <v>4</v>
          </cell>
          <cell r="K150">
            <v>10</v>
          </cell>
          <cell r="N150">
            <v>24</v>
          </cell>
          <cell r="P150">
            <v>15</v>
          </cell>
        </row>
        <row r="151">
          <cell r="B151" t="str">
            <v xml:space="preserve">∑ Tanaman Akhir </v>
          </cell>
          <cell r="C151" t="str">
            <v>Pohon/rumpun</v>
          </cell>
          <cell r="D151">
            <v>5000</v>
          </cell>
          <cell r="E151">
            <v>29583</v>
          </cell>
          <cell r="F151">
            <v>10717</v>
          </cell>
          <cell r="G151">
            <v>16114</v>
          </cell>
          <cell r="H151">
            <v>7239</v>
          </cell>
          <cell r="I151">
            <v>18887</v>
          </cell>
          <cell r="J151">
            <v>9970</v>
          </cell>
          <cell r="K151">
            <v>44710</v>
          </cell>
          <cell r="L151">
            <v>93174</v>
          </cell>
          <cell r="M151">
            <v>45608</v>
          </cell>
          <cell r="N151">
            <v>5874</v>
          </cell>
          <cell r="O151">
            <v>1484</v>
          </cell>
          <cell r="P151">
            <v>23363</v>
          </cell>
          <cell r="Q151">
            <v>7626</v>
          </cell>
          <cell r="R151">
            <v>5390</v>
          </cell>
          <cell r="S151">
            <v>985</v>
          </cell>
          <cell r="T151">
            <v>28995</v>
          </cell>
        </row>
        <row r="152">
          <cell r="B152" t="str">
            <v>Di Akhir Triwulan</v>
          </cell>
          <cell r="C152" t="str">
            <v>TBM</v>
          </cell>
          <cell r="D152">
            <v>916</v>
          </cell>
          <cell r="E152">
            <v>16331</v>
          </cell>
          <cell r="F152">
            <v>6098</v>
          </cell>
          <cell r="G152">
            <v>2012</v>
          </cell>
          <cell r="H152">
            <v>1020</v>
          </cell>
          <cell r="I152">
            <v>4137</v>
          </cell>
          <cell r="K152">
            <v>1000</v>
          </cell>
          <cell r="L152">
            <v>84356</v>
          </cell>
          <cell r="M152">
            <v>37500</v>
          </cell>
          <cell r="N152">
            <v>3800</v>
          </cell>
          <cell r="O152">
            <v>297</v>
          </cell>
          <cell r="P152">
            <v>21687</v>
          </cell>
          <cell r="Q152">
            <v>1375</v>
          </cell>
          <cell r="R152">
            <v>2163</v>
          </cell>
          <cell r="S152">
            <v>195</v>
          </cell>
          <cell r="T152">
            <v>115</v>
          </cell>
        </row>
        <row r="153">
          <cell r="C153" t="str">
            <v>TPSM</v>
          </cell>
          <cell r="D153">
            <v>4080</v>
          </cell>
          <cell r="E153">
            <v>13252</v>
          </cell>
          <cell r="F153">
            <v>4109</v>
          </cell>
          <cell r="G153">
            <v>1438</v>
          </cell>
          <cell r="I153">
            <v>3320</v>
          </cell>
          <cell r="J153">
            <v>9970</v>
          </cell>
          <cell r="K153">
            <v>43710</v>
          </cell>
          <cell r="L153">
            <v>8491</v>
          </cell>
          <cell r="M153">
            <v>8108</v>
          </cell>
          <cell r="N153">
            <v>2074</v>
          </cell>
          <cell r="O153">
            <v>1113</v>
          </cell>
          <cell r="P153">
            <v>1673</v>
          </cell>
          <cell r="Q153">
            <v>6080</v>
          </cell>
          <cell r="R153">
            <v>3224</v>
          </cell>
          <cell r="S153">
            <v>790</v>
          </cell>
          <cell r="T153">
            <v>70</v>
          </cell>
        </row>
        <row r="154">
          <cell r="C154" t="str">
            <v>TPBM</v>
          </cell>
          <cell r="D154">
            <v>0</v>
          </cell>
          <cell r="E154">
            <v>0</v>
          </cell>
          <cell r="F154">
            <v>393</v>
          </cell>
          <cell r="G154">
            <v>12566</v>
          </cell>
          <cell r="H154">
            <v>6219</v>
          </cell>
          <cell r="I154">
            <v>11265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28810</v>
          </cell>
        </row>
        <row r="155">
          <cell r="C155" t="str">
            <v>TR</v>
          </cell>
          <cell r="D155">
            <v>4</v>
          </cell>
          <cell r="F155">
            <v>117</v>
          </cell>
          <cell r="G155">
            <v>98</v>
          </cell>
          <cell r="I155">
            <v>165</v>
          </cell>
          <cell r="L155">
            <v>327</v>
          </cell>
          <cell r="O155">
            <v>74</v>
          </cell>
          <cell r="P155">
            <v>3</v>
          </cell>
          <cell r="Q155">
            <v>171</v>
          </cell>
          <cell r="R155">
            <v>3</v>
          </cell>
        </row>
        <row r="156">
          <cell r="B156" t="str">
            <v>Produksi</v>
          </cell>
          <cell r="C156" t="str">
            <v>(kuintal)</v>
          </cell>
          <cell r="D156">
            <v>684.24</v>
          </cell>
          <cell r="E156">
            <v>13252</v>
          </cell>
          <cell r="F156">
            <v>3985.73</v>
          </cell>
          <cell r="G156">
            <v>791.06</v>
          </cell>
          <cell r="H156">
            <v>0</v>
          </cell>
          <cell r="I156">
            <v>1759.6</v>
          </cell>
          <cell r="J156">
            <v>4985</v>
          </cell>
          <cell r="K156">
            <v>2150</v>
          </cell>
          <cell r="L156">
            <v>4980</v>
          </cell>
          <cell r="M156">
            <v>575.89</v>
          </cell>
          <cell r="N156">
            <v>248.8</v>
          </cell>
          <cell r="O156">
            <v>1336</v>
          </cell>
          <cell r="P156">
            <v>104.14</v>
          </cell>
          <cell r="Q156">
            <v>608</v>
          </cell>
          <cell r="R156">
            <v>1289.5999999999999</v>
          </cell>
          <cell r="S156">
            <v>316</v>
          </cell>
          <cell r="T156">
            <v>65</v>
          </cell>
        </row>
        <row r="157">
          <cell r="B157" t="str">
            <v>Provitas</v>
          </cell>
          <cell r="C157" t="str">
            <v>(ku/pohon)</v>
          </cell>
          <cell r="D157">
            <v>0.16770588235294118</v>
          </cell>
          <cell r="E157">
            <v>1</v>
          </cell>
          <cell r="F157">
            <v>0.97</v>
          </cell>
          <cell r="G157">
            <v>0.55011126564673152</v>
          </cell>
          <cell r="H157" t="e">
            <v>#DIV/0!</v>
          </cell>
          <cell r="I157">
            <v>0.53</v>
          </cell>
          <cell r="J157">
            <v>0.5</v>
          </cell>
          <cell r="K157">
            <v>4.9187828872111643E-2</v>
          </cell>
          <cell r="L157">
            <v>0.58650335649511243</v>
          </cell>
          <cell r="M157">
            <v>7.102738036507153E-2</v>
          </cell>
          <cell r="N157">
            <v>0.11996142719382835</v>
          </cell>
          <cell r="O157">
            <v>1.2003593890386344</v>
          </cell>
          <cell r="P157">
            <v>6.2247459653317391E-2</v>
          </cell>
          <cell r="Q157">
            <v>0.1</v>
          </cell>
          <cell r="R157">
            <v>0.39999999999999997</v>
          </cell>
          <cell r="S157">
            <v>0.4</v>
          </cell>
          <cell r="T157">
            <v>0.9285714285714286</v>
          </cell>
        </row>
        <row r="158">
          <cell r="B158" t="str">
            <v>Harga/kg</v>
          </cell>
          <cell r="C158" t="str">
            <v>Rupiah</v>
          </cell>
          <cell r="D158">
            <v>20000</v>
          </cell>
          <cell r="E158">
            <v>13000</v>
          </cell>
          <cell r="F158">
            <v>20000</v>
          </cell>
          <cell r="G158">
            <v>8000</v>
          </cell>
          <cell r="H158">
            <v>0</v>
          </cell>
          <cell r="I158">
            <v>12000</v>
          </cell>
          <cell r="J158">
            <v>12000</v>
          </cell>
          <cell r="K158">
            <v>20000</v>
          </cell>
          <cell r="L158">
            <v>10000</v>
          </cell>
          <cell r="M158">
            <v>15000</v>
          </cell>
          <cell r="N158">
            <v>8000</v>
          </cell>
          <cell r="O158">
            <v>14000</v>
          </cell>
          <cell r="P158">
            <v>12000</v>
          </cell>
          <cell r="Q158">
            <v>5600</v>
          </cell>
          <cell r="R158">
            <v>12000</v>
          </cell>
          <cell r="S158">
            <v>7000</v>
          </cell>
          <cell r="T158">
            <v>8000</v>
          </cell>
        </row>
        <row r="159">
          <cell r="A159" t="str">
            <v>Manggis</v>
          </cell>
          <cell r="B159" t="str">
            <v>Tan Akhir Trw lalu</v>
          </cell>
          <cell r="C159" t="str">
            <v>Pohon/rumpun</v>
          </cell>
          <cell r="D159">
            <v>1260</v>
          </cell>
          <cell r="E159">
            <v>1421</v>
          </cell>
          <cell r="F159">
            <v>22</v>
          </cell>
          <cell r="G159">
            <v>312</v>
          </cell>
          <cell r="H159">
            <v>269</v>
          </cell>
          <cell r="I159">
            <v>340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B160" t="str">
            <v>Selama Triwulan</v>
          </cell>
          <cell r="C160" t="str">
            <v>Bongkar</v>
          </cell>
          <cell r="E160">
            <v>14</v>
          </cell>
          <cell r="F160">
            <v>10</v>
          </cell>
          <cell r="G160">
            <v>10</v>
          </cell>
        </row>
        <row r="161">
          <cell r="C161" t="str">
            <v>Baru</v>
          </cell>
        </row>
        <row r="162">
          <cell r="B162" t="str">
            <v xml:space="preserve">∑ Tanaman Akhir </v>
          </cell>
          <cell r="C162" t="str">
            <v>Pohon/rumpun</v>
          </cell>
          <cell r="D162">
            <v>1260</v>
          </cell>
          <cell r="E162">
            <v>1407</v>
          </cell>
          <cell r="F162">
            <v>12</v>
          </cell>
          <cell r="G162">
            <v>302</v>
          </cell>
          <cell r="H162">
            <v>269</v>
          </cell>
          <cell r="I162">
            <v>340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B163" t="str">
            <v>Di Akhir Triwulan</v>
          </cell>
          <cell r="C163" t="str">
            <v>TBM</v>
          </cell>
          <cell r="D163">
            <v>690</v>
          </cell>
          <cell r="E163">
            <v>1407</v>
          </cell>
          <cell r="G163">
            <v>125</v>
          </cell>
          <cell r="H163">
            <v>250</v>
          </cell>
          <cell r="I163">
            <v>115</v>
          </cell>
        </row>
        <row r="164">
          <cell r="C164" t="str">
            <v>TPSM</v>
          </cell>
          <cell r="D164">
            <v>560</v>
          </cell>
          <cell r="F164">
            <v>11</v>
          </cell>
          <cell r="I164">
            <v>51</v>
          </cell>
        </row>
        <row r="165">
          <cell r="C165" t="str">
            <v>TPBM</v>
          </cell>
          <cell r="D165">
            <v>0</v>
          </cell>
          <cell r="E165">
            <v>0</v>
          </cell>
          <cell r="F165">
            <v>1</v>
          </cell>
          <cell r="G165">
            <v>177</v>
          </cell>
          <cell r="H165">
            <v>19</v>
          </cell>
          <cell r="I165">
            <v>68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C166" t="str">
            <v>TR</v>
          </cell>
          <cell r="D166">
            <v>10</v>
          </cell>
          <cell r="I166">
            <v>106</v>
          </cell>
        </row>
        <row r="167">
          <cell r="B167" t="str">
            <v>Produksi</v>
          </cell>
          <cell r="C167" t="str">
            <v>(kuintal)</v>
          </cell>
          <cell r="D167">
            <v>68</v>
          </cell>
          <cell r="E167">
            <v>0</v>
          </cell>
          <cell r="F167">
            <v>110</v>
          </cell>
          <cell r="G167">
            <v>0</v>
          </cell>
          <cell r="H167">
            <v>0</v>
          </cell>
          <cell r="I167">
            <v>12.85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B168" t="str">
            <v>Provitas</v>
          </cell>
          <cell r="C168" t="str">
            <v>(ku/pohon)</v>
          </cell>
          <cell r="D168">
            <v>0.12142857142857143</v>
          </cell>
          <cell r="E168" t="e">
            <v>#DIV/0!</v>
          </cell>
          <cell r="F168">
            <v>10</v>
          </cell>
          <cell r="G168" t="e">
            <v>#DIV/0!</v>
          </cell>
          <cell r="H168" t="e">
            <v>#DIV/0!</v>
          </cell>
          <cell r="I168">
            <v>0.25196078431372548</v>
          </cell>
          <cell r="J168" t="e">
            <v>#DIV/0!</v>
          </cell>
          <cell r="K168" t="e">
            <v>#DIV/0!</v>
          </cell>
          <cell r="L168" t="e">
            <v>#DIV/0!</v>
          </cell>
          <cell r="M168" t="e">
            <v>#DIV/0!</v>
          </cell>
          <cell r="N168" t="e">
            <v>#DIV/0!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</row>
        <row r="169">
          <cell r="B169" t="str">
            <v>Harga/kg</v>
          </cell>
          <cell r="C169" t="str">
            <v>Rupiah</v>
          </cell>
          <cell r="D169">
            <v>14000</v>
          </cell>
          <cell r="E169">
            <v>0</v>
          </cell>
          <cell r="F169">
            <v>30000</v>
          </cell>
          <cell r="G169">
            <v>0</v>
          </cell>
          <cell r="H169">
            <v>0</v>
          </cell>
          <cell r="I169">
            <v>13000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 t="str">
            <v>Nenas *)</v>
          </cell>
          <cell r="B170" t="str">
            <v>Tan Akhir Trw lalu</v>
          </cell>
          <cell r="C170" t="str">
            <v>Pohon/rumpun</v>
          </cell>
          <cell r="D170">
            <v>1175</v>
          </cell>
          <cell r="E170">
            <v>1945</v>
          </cell>
          <cell r="F170">
            <v>0</v>
          </cell>
          <cell r="G170">
            <v>0</v>
          </cell>
          <cell r="H170">
            <v>0</v>
          </cell>
          <cell r="I170">
            <v>9457</v>
          </cell>
          <cell r="J170">
            <v>0</v>
          </cell>
          <cell r="K170">
            <v>0</v>
          </cell>
          <cell r="L170">
            <v>1504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B171" t="str">
            <v>Selama Triwulan</v>
          </cell>
          <cell r="C171" t="str">
            <v>Bongkar</v>
          </cell>
          <cell r="I171">
            <v>150</v>
          </cell>
          <cell r="L171">
            <v>6</v>
          </cell>
        </row>
        <row r="172">
          <cell r="C172" t="str">
            <v>Baru</v>
          </cell>
        </row>
        <row r="173">
          <cell r="B173" t="str">
            <v xml:space="preserve">∑ Tanaman Akhir </v>
          </cell>
          <cell r="C173" t="str">
            <v>Pohon/rumpun</v>
          </cell>
          <cell r="D173">
            <v>1175</v>
          </cell>
          <cell r="E173">
            <v>1945</v>
          </cell>
          <cell r="F173">
            <v>0</v>
          </cell>
          <cell r="G173">
            <v>0</v>
          </cell>
          <cell r="H173">
            <v>0</v>
          </cell>
          <cell r="I173">
            <v>9307</v>
          </cell>
          <cell r="J173">
            <v>0</v>
          </cell>
          <cell r="K173">
            <v>0</v>
          </cell>
          <cell r="L173">
            <v>1498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B174" t="str">
            <v>Di Akhir Triwulan</v>
          </cell>
          <cell r="C174" t="str">
            <v>TBM</v>
          </cell>
          <cell r="D174">
            <v>259</v>
          </cell>
          <cell r="E174">
            <v>1945</v>
          </cell>
          <cell r="I174">
            <v>4020</v>
          </cell>
          <cell r="L174">
            <v>107</v>
          </cell>
        </row>
        <row r="175">
          <cell r="C175" t="str">
            <v>TPSM</v>
          </cell>
          <cell r="D175">
            <v>900</v>
          </cell>
          <cell r="I175">
            <v>1020</v>
          </cell>
          <cell r="L175">
            <v>416</v>
          </cell>
        </row>
        <row r="176">
          <cell r="C176" t="str">
            <v>TPBM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4047</v>
          </cell>
          <cell r="J176">
            <v>0</v>
          </cell>
          <cell r="K176">
            <v>0</v>
          </cell>
          <cell r="L176">
            <v>963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C177" t="str">
            <v>TR</v>
          </cell>
          <cell r="D177">
            <v>16</v>
          </cell>
          <cell r="I177">
            <v>220</v>
          </cell>
          <cell r="L177">
            <v>12</v>
          </cell>
        </row>
        <row r="178">
          <cell r="B178" t="str">
            <v>Produksi</v>
          </cell>
          <cell r="C178" t="str">
            <v>(kuintal)</v>
          </cell>
          <cell r="D178">
            <v>72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255</v>
          </cell>
          <cell r="J178">
            <v>0</v>
          </cell>
          <cell r="K178">
            <v>0</v>
          </cell>
          <cell r="L178">
            <v>15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B179" t="str">
            <v>Provitas</v>
          </cell>
          <cell r="C179" t="str">
            <v>(ku/pohon)</v>
          </cell>
          <cell r="D179">
            <v>0.08</v>
          </cell>
          <cell r="E179" t="e">
            <v>#DIV/0!</v>
          </cell>
          <cell r="F179" t="e">
            <v>#DIV/0!</v>
          </cell>
          <cell r="G179" t="e">
            <v>#DIV/0!</v>
          </cell>
          <cell r="H179" t="e">
            <v>#DIV/0!</v>
          </cell>
          <cell r="I179">
            <v>0.25</v>
          </cell>
          <cell r="J179" t="e">
            <v>#DIV/0!</v>
          </cell>
          <cell r="K179" t="e">
            <v>#DIV/0!</v>
          </cell>
          <cell r="L179">
            <v>3.6057692307692304E-2</v>
          </cell>
          <cell r="M179" t="e">
            <v>#DIV/0!</v>
          </cell>
          <cell r="N179" t="e">
            <v>#DIV/0!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</row>
        <row r="180">
          <cell r="B180" t="str">
            <v>Harga/kg</v>
          </cell>
          <cell r="C180" t="str">
            <v>Rupiah</v>
          </cell>
          <cell r="D180">
            <v>6000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8000</v>
          </cell>
          <cell r="J180">
            <v>0</v>
          </cell>
          <cell r="K180">
            <v>0</v>
          </cell>
          <cell r="L180">
            <v>5000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 t="str">
            <v>Nangka/cempedak</v>
          </cell>
          <cell r="B181" t="str">
            <v>Tan Akhir Trw lalu</v>
          </cell>
          <cell r="C181" t="str">
            <v>Pohon/rumpun</v>
          </cell>
          <cell r="D181">
            <v>1700</v>
          </cell>
          <cell r="E181">
            <v>435</v>
          </cell>
          <cell r="F181">
            <v>662</v>
          </cell>
          <cell r="G181">
            <v>6553</v>
          </cell>
          <cell r="H181">
            <v>1226</v>
          </cell>
          <cell r="I181">
            <v>413</v>
          </cell>
          <cell r="J181">
            <v>89</v>
          </cell>
          <cell r="K181">
            <v>950</v>
          </cell>
          <cell r="L181">
            <v>3078</v>
          </cell>
          <cell r="M181">
            <v>3616</v>
          </cell>
          <cell r="N181">
            <v>210</v>
          </cell>
          <cell r="O181">
            <v>90</v>
          </cell>
          <cell r="P181">
            <v>8</v>
          </cell>
          <cell r="Q181">
            <v>343</v>
          </cell>
          <cell r="R181">
            <v>95</v>
          </cell>
          <cell r="S181">
            <v>410</v>
          </cell>
          <cell r="T181">
            <v>31</v>
          </cell>
        </row>
        <row r="182">
          <cell r="B182" t="str">
            <v>Selama Triwulan</v>
          </cell>
          <cell r="C182" t="str">
            <v>Bongkar</v>
          </cell>
          <cell r="F182">
            <v>13</v>
          </cell>
          <cell r="G182">
            <v>30</v>
          </cell>
          <cell r="I182">
            <v>1</v>
          </cell>
          <cell r="K182">
            <v>50</v>
          </cell>
          <cell r="L182">
            <v>83</v>
          </cell>
          <cell r="M182">
            <v>143</v>
          </cell>
          <cell r="O182">
            <v>18</v>
          </cell>
          <cell r="P182">
            <v>2</v>
          </cell>
          <cell r="Q182">
            <v>23</v>
          </cell>
          <cell r="R182">
            <v>5</v>
          </cell>
        </row>
        <row r="183">
          <cell r="C183" t="str">
            <v>Baru</v>
          </cell>
          <cell r="G183">
            <v>2</v>
          </cell>
          <cell r="H183">
            <v>29</v>
          </cell>
        </row>
        <row r="184">
          <cell r="B184" t="str">
            <v xml:space="preserve">∑ Tanaman Akhir </v>
          </cell>
          <cell r="C184" t="str">
            <v>Pohon/rumpun</v>
          </cell>
          <cell r="D184">
            <v>1700</v>
          </cell>
          <cell r="E184">
            <v>435</v>
          </cell>
          <cell r="F184">
            <v>649</v>
          </cell>
          <cell r="G184">
            <v>6525</v>
          </cell>
          <cell r="H184">
            <v>1255</v>
          </cell>
          <cell r="I184">
            <v>412</v>
          </cell>
          <cell r="J184">
            <v>89</v>
          </cell>
          <cell r="K184">
            <v>900</v>
          </cell>
          <cell r="L184">
            <v>2995</v>
          </cell>
          <cell r="M184">
            <v>3473</v>
          </cell>
          <cell r="N184">
            <v>210</v>
          </cell>
          <cell r="O184">
            <v>72</v>
          </cell>
          <cell r="P184">
            <v>6</v>
          </cell>
          <cell r="Q184">
            <v>320</v>
          </cell>
          <cell r="R184">
            <v>90</v>
          </cell>
          <cell r="S184">
            <v>410</v>
          </cell>
          <cell r="T184">
            <v>31</v>
          </cell>
        </row>
        <row r="185">
          <cell r="B185" t="str">
            <v>Di Akhir Triwulan</v>
          </cell>
          <cell r="C185" t="str">
            <v>TBM</v>
          </cell>
          <cell r="D185">
            <v>184</v>
          </cell>
          <cell r="E185">
            <v>290</v>
          </cell>
          <cell r="F185">
            <v>96</v>
          </cell>
          <cell r="G185">
            <v>1230</v>
          </cell>
          <cell r="H185">
            <v>549</v>
          </cell>
          <cell r="I185">
            <v>10</v>
          </cell>
          <cell r="K185">
            <v>10</v>
          </cell>
          <cell r="L185">
            <v>525</v>
          </cell>
          <cell r="M185">
            <v>2359</v>
          </cell>
          <cell r="N185">
            <v>5</v>
          </cell>
          <cell r="O185">
            <v>14</v>
          </cell>
          <cell r="P185">
            <v>3</v>
          </cell>
          <cell r="Q185">
            <v>183</v>
          </cell>
          <cell r="R185">
            <v>18</v>
          </cell>
          <cell r="S185">
            <v>160</v>
          </cell>
          <cell r="T185">
            <v>8</v>
          </cell>
        </row>
        <row r="186">
          <cell r="C186" t="str">
            <v>TPSM</v>
          </cell>
          <cell r="D186">
            <v>1200</v>
          </cell>
          <cell r="E186">
            <v>145</v>
          </cell>
          <cell r="F186">
            <v>543</v>
          </cell>
          <cell r="G186">
            <v>1620</v>
          </cell>
          <cell r="H186">
            <v>587</v>
          </cell>
          <cell r="I186">
            <v>66</v>
          </cell>
          <cell r="J186">
            <v>89</v>
          </cell>
          <cell r="K186">
            <v>870</v>
          </cell>
          <cell r="L186">
            <v>2301</v>
          </cell>
          <cell r="M186">
            <v>1114</v>
          </cell>
          <cell r="N186">
            <v>205</v>
          </cell>
          <cell r="O186">
            <v>54</v>
          </cell>
          <cell r="P186">
            <v>3</v>
          </cell>
          <cell r="Q186">
            <v>116</v>
          </cell>
          <cell r="R186">
            <v>70</v>
          </cell>
          <cell r="S186">
            <v>250</v>
          </cell>
          <cell r="T186">
            <v>4</v>
          </cell>
        </row>
        <row r="187">
          <cell r="C187" t="str">
            <v>TPBM</v>
          </cell>
          <cell r="D187">
            <v>300</v>
          </cell>
          <cell r="E187">
            <v>0</v>
          </cell>
          <cell r="F187">
            <v>10</v>
          </cell>
          <cell r="G187">
            <v>3563</v>
          </cell>
          <cell r="H187">
            <v>119</v>
          </cell>
          <cell r="I187">
            <v>336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19</v>
          </cell>
        </row>
        <row r="188">
          <cell r="C188" t="str">
            <v>TR</v>
          </cell>
          <cell r="D188">
            <v>16</v>
          </cell>
          <cell r="G188">
            <v>112</v>
          </cell>
          <cell r="K188">
            <v>20</v>
          </cell>
          <cell r="L188">
            <v>169</v>
          </cell>
          <cell r="O188">
            <v>4</v>
          </cell>
          <cell r="Q188">
            <v>21</v>
          </cell>
          <cell r="R188">
            <v>2</v>
          </cell>
        </row>
        <row r="189">
          <cell r="B189" t="str">
            <v>Produksi</v>
          </cell>
          <cell r="C189" t="str">
            <v>(kuintal)</v>
          </cell>
          <cell r="D189">
            <v>1005.05</v>
          </cell>
          <cell r="E189">
            <v>58</v>
          </cell>
          <cell r="F189">
            <v>76.02</v>
          </cell>
          <cell r="G189">
            <v>32.450000000000003</v>
          </cell>
          <cell r="H189">
            <v>7200</v>
          </cell>
          <cell r="I189">
            <v>0.14000000000000001</v>
          </cell>
          <cell r="J189">
            <v>45</v>
          </cell>
          <cell r="K189">
            <v>71</v>
          </cell>
          <cell r="L189">
            <v>1142</v>
          </cell>
          <cell r="M189">
            <v>1479.59</v>
          </cell>
          <cell r="N189">
            <v>170</v>
          </cell>
          <cell r="O189">
            <v>43</v>
          </cell>
          <cell r="P189">
            <v>1.42</v>
          </cell>
          <cell r="Q189">
            <v>5.8</v>
          </cell>
          <cell r="R189">
            <v>105</v>
          </cell>
          <cell r="S189">
            <v>75</v>
          </cell>
          <cell r="T189">
            <v>8</v>
          </cell>
        </row>
        <row r="190">
          <cell r="B190" t="str">
            <v>Provitas</v>
          </cell>
          <cell r="C190" t="str">
            <v>(ku/pohon)</v>
          </cell>
          <cell r="D190">
            <v>0.83754166666666663</v>
          </cell>
          <cell r="E190">
            <v>0.4</v>
          </cell>
          <cell r="F190">
            <v>0.13999999999999999</v>
          </cell>
          <cell r="G190">
            <v>2.0030864197530866E-2</v>
          </cell>
          <cell r="H190">
            <v>12.265758091993186</v>
          </cell>
          <cell r="I190">
            <v>2.1212121212121214E-3</v>
          </cell>
          <cell r="J190">
            <v>0.5056179775280899</v>
          </cell>
          <cell r="K190">
            <v>8.1609195402298856E-2</v>
          </cell>
          <cell r="L190">
            <v>0.49630595393307259</v>
          </cell>
          <cell r="M190">
            <v>1.3281777378815081</v>
          </cell>
          <cell r="N190">
            <v>0.82926829268292679</v>
          </cell>
          <cell r="O190">
            <v>0.79629629629629628</v>
          </cell>
          <cell r="P190">
            <v>0.47333333333333333</v>
          </cell>
          <cell r="Q190">
            <v>4.9999999999999996E-2</v>
          </cell>
          <cell r="R190">
            <v>1.5</v>
          </cell>
          <cell r="S190">
            <v>0.3</v>
          </cell>
          <cell r="T190">
            <v>2</v>
          </cell>
        </row>
        <row r="191">
          <cell r="B191" t="str">
            <v>Harga/kg</v>
          </cell>
          <cell r="C191" t="str">
            <v>Rupiah</v>
          </cell>
          <cell r="D191">
            <v>6500</v>
          </cell>
          <cell r="E191">
            <v>8000</v>
          </cell>
          <cell r="F191">
            <v>10000</v>
          </cell>
          <cell r="G191">
            <v>10000</v>
          </cell>
          <cell r="H191">
            <v>5000</v>
          </cell>
          <cell r="I191">
            <v>6000</v>
          </cell>
          <cell r="J191">
            <v>12000</v>
          </cell>
          <cell r="K191">
            <v>10000</v>
          </cell>
          <cell r="L191">
            <v>5000</v>
          </cell>
          <cell r="M191">
            <v>15000</v>
          </cell>
          <cell r="N191">
            <v>6000</v>
          </cell>
          <cell r="O191">
            <v>6000</v>
          </cell>
          <cell r="P191">
            <v>15000</v>
          </cell>
          <cell r="Q191">
            <v>3000</v>
          </cell>
          <cell r="R191">
            <v>8500</v>
          </cell>
          <cell r="S191">
            <v>6000</v>
          </cell>
          <cell r="T191">
            <v>5000</v>
          </cell>
        </row>
        <row r="192">
          <cell r="A192" t="str">
            <v>Pepaya</v>
          </cell>
          <cell r="B192" t="str">
            <v>Tan Akhir Trw lalu</v>
          </cell>
          <cell r="C192" t="str">
            <v>Pohon/rumpun</v>
          </cell>
          <cell r="D192">
            <v>990</v>
          </cell>
          <cell r="E192">
            <v>632</v>
          </cell>
          <cell r="F192">
            <v>812</v>
          </cell>
          <cell r="G192">
            <v>9392</v>
          </cell>
          <cell r="H192">
            <v>961</v>
          </cell>
          <cell r="I192">
            <v>2595</v>
          </cell>
          <cell r="J192">
            <v>1400</v>
          </cell>
          <cell r="K192">
            <v>600</v>
          </cell>
          <cell r="L192">
            <v>3597</v>
          </cell>
          <cell r="M192">
            <v>0</v>
          </cell>
          <cell r="N192">
            <v>575</v>
          </cell>
          <cell r="O192">
            <v>207</v>
          </cell>
          <cell r="P192">
            <v>1262</v>
          </cell>
          <cell r="Q192">
            <v>442</v>
          </cell>
          <cell r="R192">
            <v>3596</v>
          </cell>
          <cell r="S192">
            <v>1400</v>
          </cell>
          <cell r="T192">
            <v>362</v>
          </cell>
        </row>
        <row r="193">
          <cell r="B193" t="str">
            <v>Selama Triwulan</v>
          </cell>
          <cell r="C193" t="str">
            <v>Bongkar</v>
          </cell>
          <cell r="E193">
            <v>14</v>
          </cell>
          <cell r="G193">
            <v>65</v>
          </cell>
          <cell r="H193">
            <v>32</v>
          </cell>
          <cell r="I193">
            <v>20</v>
          </cell>
          <cell r="J193">
            <v>200</v>
          </cell>
          <cell r="K193">
            <v>10</v>
          </cell>
          <cell r="L193">
            <v>36</v>
          </cell>
          <cell r="O193">
            <v>41</v>
          </cell>
          <cell r="P193">
            <v>32</v>
          </cell>
          <cell r="R193">
            <v>30</v>
          </cell>
          <cell r="S193">
            <v>400</v>
          </cell>
        </row>
        <row r="194">
          <cell r="C194" t="str">
            <v>Baru</v>
          </cell>
          <cell r="E194">
            <v>22</v>
          </cell>
          <cell r="G194">
            <v>20</v>
          </cell>
          <cell r="H194">
            <v>0</v>
          </cell>
          <cell r="K194">
            <v>50</v>
          </cell>
        </row>
        <row r="195">
          <cell r="B195" t="str">
            <v xml:space="preserve">∑ Tanaman Akhir </v>
          </cell>
          <cell r="C195" t="str">
            <v>Pohon/rumpun</v>
          </cell>
          <cell r="D195">
            <v>990</v>
          </cell>
          <cell r="E195">
            <v>640</v>
          </cell>
          <cell r="F195">
            <v>812</v>
          </cell>
          <cell r="G195">
            <v>9347</v>
          </cell>
          <cell r="H195">
            <v>929</v>
          </cell>
          <cell r="I195">
            <v>2575</v>
          </cell>
          <cell r="J195">
            <v>1200</v>
          </cell>
          <cell r="K195">
            <v>640</v>
          </cell>
          <cell r="L195">
            <v>3561</v>
          </cell>
          <cell r="M195">
            <v>0</v>
          </cell>
          <cell r="N195">
            <v>575</v>
          </cell>
          <cell r="O195">
            <v>166</v>
          </cell>
          <cell r="P195">
            <v>1230</v>
          </cell>
          <cell r="Q195">
            <v>442</v>
          </cell>
          <cell r="R195">
            <v>3566</v>
          </cell>
          <cell r="S195">
            <v>1000</v>
          </cell>
          <cell r="T195">
            <v>362</v>
          </cell>
        </row>
        <row r="196">
          <cell r="B196" t="str">
            <v>Di Akhir Triwulan</v>
          </cell>
          <cell r="C196" t="str">
            <v>TBM</v>
          </cell>
          <cell r="D196">
            <v>84</v>
          </cell>
          <cell r="E196">
            <v>306</v>
          </cell>
          <cell r="F196">
            <v>110</v>
          </cell>
          <cell r="G196">
            <v>6345</v>
          </cell>
          <cell r="H196">
            <v>232</v>
          </cell>
          <cell r="I196">
            <v>364</v>
          </cell>
          <cell r="K196">
            <v>90</v>
          </cell>
          <cell r="L196">
            <v>1455</v>
          </cell>
          <cell r="O196">
            <v>33</v>
          </cell>
          <cell r="P196">
            <v>18</v>
          </cell>
          <cell r="R196">
            <v>1426</v>
          </cell>
          <cell r="S196">
            <v>450</v>
          </cell>
          <cell r="T196">
            <v>26</v>
          </cell>
        </row>
        <row r="197">
          <cell r="C197" t="str">
            <v>TPSM</v>
          </cell>
          <cell r="D197">
            <v>900</v>
          </cell>
          <cell r="E197">
            <v>334</v>
          </cell>
          <cell r="F197">
            <v>535</v>
          </cell>
          <cell r="G197">
            <v>2240</v>
          </cell>
          <cell r="H197">
            <v>480</v>
          </cell>
          <cell r="I197">
            <v>344</v>
          </cell>
          <cell r="J197">
            <v>1200</v>
          </cell>
          <cell r="K197">
            <v>520</v>
          </cell>
          <cell r="L197">
            <v>1825</v>
          </cell>
          <cell r="N197">
            <v>575</v>
          </cell>
          <cell r="O197">
            <v>124</v>
          </cell>
          <cell r="P197">
            <v>1198</v>
          </cell>
          <cell r="Q197">
            <v>442</v>
          </cell>
          <cell r="R197">
            <v>2140</v>
          </cell>
          <cell r="S197">
            <v>550</v>
          </cell>
          <cell r="T197">
            <v>125</v>
          </cell>
        </row>
        <row r="198">
          <cell r="C198" t="str">
            <v>TPBM</v>
          </cell>
          <cell r="D198">
            <v>0</v>
          </cell>
          <cell r="E198">
            <v>0</v>
          </cell>
          <cell r="F198">
            <v>159</v>
          </cell>
          <cell r="G198">
            <v>647</v>
          </cell>
          <cell r="H198">
            <v>217</v>
          </cell>
          <cell r="I198">
            <v>1834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211</v>
          </cell>
        </row>
        <row r="199">
          <cell r="C199" t="str">
            <v>TR</v>
          </cell>
          <cell r="D199">
            <v>6</v>
          </cell>
          <cell r="F199">
            <v>8</v>
          </cell>
          <cell r="G199">
            <v>115</v>
          </cell>
          <cell r="I199">
            <v>33</v>
          </cell>
          <cell r="K199">
            <v>30</v>
          </cell>
          <cell r="L199">
            <v>281</v>
          </cell>
          <cell r="O199">
            <v>8</v>
          </cell>
          <cell r="P199">
            <v>14</v>
          </cell>
        </row>
        <row r="200">
          <cell r="B200" t="str">
            <v>Produksi</v>
          </cell>
          <cell r="C200" t="str">
            <v>(kuintal)</v>
          </cell>
          <cell r="D200">
            <v>63</v>
          </cell>
          <cell r="E200">
            <v>134</v>
          </cell>
          <cell r="F200">
            <v>37.450000000000003</v>
          </cell>
          <cell r="G200">
            <v>156.74</v>
          </cell>
          <cell r="H200">
            <v>96</v>
          </cell>
          <cell r="I200">
            <v>24</v>
          </cell>
          <cell r="J200">
            <v>120</v>
          </cell>
          <cell r="K200">
            <v>42</v>
          </cell>
          <cell r="L200">
            <v>63</v>
          </cell>
          <cell r="M200">
            <v>0</v>
          </cell>
          <cell r="N200">
            <v>80</v>
          </cell>
          <cell r="O200">
            <v>62</v>
          </cell>
          <cell r="P200">
            <v>244.26</v>
          </cell>
          <cell r="Q200">
            <v>13.26</v>
          </cell>
          <cell r="R200">
            <v>3210</v>
          </cell>
          <cell r="S200">
            <v>110</v>
          </cell>
          <cell r="T200">
            <v>37</v>
          </cell>
        </row>
        <row r="201">
          <cell r="B201" t="str">
            <v>Provitas</v>
          </cell>
          <cell r="C201" t="str">
            <v>(ku/pohon)</v>
          </cell>
          <cell r="D201">
            <v>7.0000000000000007E-2</v>
          </cell>
          <cell r="E201">
            <v>0.40119760479041916</v>
          </cell>
          <cell r="F201">
            <v>7.0000000000000007E-2</v>
          </cell>
          <cell r="G201">
            <v>6.9973214285714291E-2</v>
          </cell>
          <cell r="H201">
            <v>0.2</v>
          </cell>
          <cell r="I201">
            <v>6.9767441860465115E-2</v>
          </cell>
          <cell r="J201">
            <v>0.1</v>
          </cell>
          <cell r="K201">
            <v>8.0769230769230774E-2</v>
          </cell>
          <cell r="L201">
            <v>3.4520547945205482E-2</v>
          </cell>
          <cell r="M201" t="e">
            <v>#DIV/0!</v>
          </cell>
          <cell r="N201">
            <v>0.1391304347826087</v>
          </cell>
          <cell r="O201">
            <v>0.5</v>
          </cell>
          <cell r="P201">
            <v>0.203889816360601</v>
          </cell>
          <cell r="Q201">
            <v>0.03</v>
          </cell>
          <cell r="R201">
            <v>1.5</v>
          </cell>
          <cell r="S201">
            <v>0.2</v>
          </cell>
          <cell r="T201">
            <v>0.29599999999999999</v>
          </cell>
        </row>
        <row r="202">
          <cell r="B202" t="str">
            <v>Harga/kg</v>
          </cell>
          <cell r="C202" t="str">
            <v>Rupiah</v>
          </cell>
          <cell r="D202">
            <v>4000</v>
          </cell>
          <cell r="E202">
            <v>7000</v>
          </cell>
          <cell r="F202">
            <v>10000</v>
          </cell>
          <cell r="G202">
            <v>5000</v>
          </cell>
          <cell r="H202">
            <v>4500</v>
          </cell>
          <cell r="I202">
            <v>6500</v>
          </cell>
          <cell r="J202">
            <v>6000</v>
          </cell>
          <cell r="K202">
            <v>7000</v>
          </cell>
          <cell r="L202">
            <v>5000</v>
          </cell>
          <cell r="M202">
            <v>0</v>
          </cell>
          <cell r="N202">
            <v>3500</v>
          </cell>
          <cell r="O202">
            <v>3500</v>
          </cell>
          <cell r="P202">
            <v>5000</v>
          </cell>
          <cell r="Q202">
            <v>3000</v>
          </cell>
          <cell r="R202">
            <v>6000</v>
          </cell>
          <cell r="S202">
            <v>4500</v>
          </cell>
          <cell r="T202">
            <v>5000</v>
          </cell>
        </row>
        <row r="203">
          <cell r="A203" t="str">
            <v>Pisang *)</v>
          </cell>
          <cell r="B203" t="str">
            <v>Tan Akhir Trw lalu</v>
          </cell>
          <cell r="C203" t="str">
            <v>Pohon/rumpun</v>
          </cell>
          <cell r="D203">
            <v>31470</v>
          </cell>
          <cell r="E203">
            <v>77476</v>
          </cell>
          <cell r="F203">
            <v>16933</v>
          </cell>
          <cell r="G203">
            <v>5923</v>
          </cell>
          <cell r="H203">
            <v>2978</v>
          </cell>
          <cell r="I203">
            <v>11228</v>
          </cell>
          <cell r="J203">
            <v>17700</v>
          </cell>
          <cell r="K203">
            <v>31800</v>
          </cell>
          <cell r="L203">
            <v>17792</v>
          </cell>
          <cell r="M203">
            <v>80690</v>
          </cell>
          <cell r="N203">
            <v>2370</v>
          </cell>
          <cell r="O203">
            <v>4173</v>
          </cell>
          <cell r="P203">
            <v>7139</v>
          </cell>
          <cell r="Q203">
            <v>800</v>
          </cell>
          <cell r="R203">
            <v>1728</v>
          </cell>
          <cell r="S203">
            <v>5018</v>
          </cell>
          <cell r="T203">
            <v>618</v>
          </cell>
        </row>
        <row r="204">
          <cell r="B204" t="str">
            <v>Selama Triwulan</v>
          </cell>
          <cell r="C204" t="str">
            <v>Bongkar</v>
          </cell>
          <cell r="E204">
            <v>3087</v>
          </cell>
          <cell r="F204">
            <v>234</v>
          </cell>
          <cell r="G204">
            <v>1100</v>
          </cell>
          <cell r="H204">
            <v>21</v>
          </cell>
          <cell r="I204">
            <v>1775</v>
          </cell>
          <cell r="J204">
            <v>700</v>
          </cell>
          <cell r="K204">
            <v>200</v>
          </cell>
          <cell r="L204">
            <v>169</v>
          </cell>
          <cell r="M204">
            <v>3820</v>
          </cell>
          <cell r="O204">
            <v>835</v>
          </cell>
          <cell r="P204">
            <v>78</v>
          </cell>
          <cell r="Q204">
            <v>30</v>
          </cell>
          <cell r="R204">
            <v>40</v>
          </cell>
        </row>
        <row r="205">
          <cell r="C205" t="str">
            <v>Baru</v>
          </cell>
          <cell r="E205">
            <v>545</v>
          </cell>
          <cell r="F205">
            <v>100</v>
          </cell>
          <cell r="G205">
            <v>1200</v>
          </cell>
          <cell r="H205">
            <v>875</v>
          </cell>
          <cell r="I205">
            <v>1934</v>
          </cell>
          <cell r="K205">
            <v>100</v>
          </cell>
          <cell r="M205">
            <v>18000</v>
          </cell>
          <cell r="N205">
            <v>25</v>
          </cell>
          <cell r="P205">
            <v>14</v>
          </cell>
        </row>
        <row r="206">
          <cell r="B206" t="str">
            <v xml:space="preserve">∑ Tanaman Akhir </v>
          </cell>
          <cell r="C206" t="str">
            <v>Pohon/rumpun</v>
          </cell>
          <cell r="D206">
            <v>31470</v>
          </cell>
          <cell r="E206">
            <v>74934</v>
          </cell>
          <cell r="F206">
            <v>16799</v>
          </cell>
          <cell r="G206">
            <v>6023</v>
          </cell>
          <cell r="H206">
            <v>3832</v>
          </cell>
          <cell r="I206">
            <v>11387</v>
          </cell>
          <cell r="J206">
            <v>17000</v>
          </cell>
          <cell r="K206">
            <v>31700</v>
          </cell>
          <cell r="L206">
            <v>17623</v>
          </cell>
          <cell r="M206">
            <v>94870</v>
          </cell>
          <cell r="N206">
            <v>2395</v>
          </cell>
          <cell r="O206">
            <v>3338</v>
          </cell>
          <cell r="P206">
            <v>7075</v>
          </cell>
          <cell r="Q206">
            <v>770</v>
          </cell>
          <cell r="R206">
            <v>1688</v>
          </cell>
          <cell r="S206">
            <v>5018</v>
          </cell>
          <cell r="T206">
            <v>618</v>
          </cell>
        </row>
        <row r="207">
          <cell r="B207" t="str">
            <v>Di Akhir Triwulan</v>
          </cell>
          <cell r="C207" t="str">
            <v>TBM</v>
          </cell>
          <cell r="D207">
            <v>2856</v>
          </cell>
          <cell r="E207">
            <v>72565</v>
          </cell>
          <cell r="F207">
            <v>4023</v>
          </cell>
          <cell r="G207">
            <v>4112</v>
          </cell>
          <cell r="H207">
            <v>1004</v>
          </cell>
          <cell r="I207">
            <v>8610</v>
          </cell>
          <cell r="K207">
            <v>90</v>
          </cell>
          <cell r="L207">
            <v>3734</v>
          </cell>
          <cell r="M207">
            <v>81670</v>
          </cell>
          <cell r="N207">
            <v>345</v>
          </cell>
          <cell r="O207">
            <v>668</v>
          </cell>
          <cell r="P207">
            <v>5285</v>
          </cell>
          <cell r="Q207">
            <v>300</v>
          </cell>
          <cell r="R207">
            <v>298</v>
          </cell>
          <cell r="S207">
            <v>2913</v>
          </cell>
          <cell r="T207">
            <v>120</v>
          </cell>
        </row>
        <row r="208">
          <cell r="C208" t="str">
            <v>TPSM</v>
          </cell>
          <cell r="D208">
            <v>28600</v>
          </cell>
          <cell r="E208">
            <v>2369</v>
          </cell>
          <cell r="F208">
            <v>12698</v>
          </cell>
          <cell r="G208">
            <v>1321</v>
          </cell>
          <cell r="H208">
            <v>2006</v>
          </cell>
          <cell r="I208">
            <v>2226</v>
          </cell>
          <cell r="J208">
            <v>17000</v>
          </cell>
          <cell r="K208">
            <v>31600</v>
          </cell>
          <cell r="L208">
            <v>13493</v>
          </cell>
          <cell r="M208">
            <v>13200</v>
          </cell>
          <cell r="N208">
            <v>2000</v>
          </cell>
          <cell r="O208">
            <v>2504</v>
          </cell>
          <cell r="P208">
            <v>1784</v>
          </cell>
          <cell r="Q208">
            <v>419</v>
          </cell>
          <cell r="R208">
            <v>1356</v>
          </cell>
          <cell r="S208">
            <v>2105</v>
          </cell>
          <cell r="T208">
            <v>260</v>
          </cell>
        </row>
        <row r="209">
          <cell r="C209" t="str">
            <v>TPBM</v>
          </cell>
          <cell r="D209">
            <v>0</v>
          </cell>
          <cell r="E209">
            <v>0</v>
          </cell>
          <cell r="F209">
            <v>74</v>
          </cell>
          <cell r="G209">
            <v>415</v>
          </cell>
          <cell r="H209">
            <v>822</v>
          </cell>
          <cell r="I209">
            <v>417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238</v>
          </cell>
        </row>
        <row r="210">
          <cell r="C210" t="str">
            <v>TR</v>
          </cell>
          <cell r="D210">
            <v>14</v>
          </cell>
          <cell r="F210">
            <v>4</v>
          </cell>
          <cell r="G210">
            <v>175</v>
          </cell>
          <cell r="I210">
            <v>134</v>
          </cell>
          <cell r="K210">
            <v>10</v>
          </cell>
          <cell r="L210">
            <v>396</v>
          </cell>
          <cell r="N210">
            <v>50</v>
          </cell>
          <cell r="O210">
            <v>166</v>
          </cell>
          <cell r="P210">
            <v>6</v>
          </cell>
          <cell r="Q210">
            <v>51</v>
          </cell>
          <cell r="R210">
            <v>34</v>
          </cell>
        </row>
        <row r="211">
          <cell r="B211" t="str">
            <v>Produksi</v>
          </cell>
          <cell r="C211" t="str">
            <v>(kuintal)</v>
          </cell>
          <cell r="D211">
            <v>1143</v>
          </cell>
          <cell r="E211">
            <v>829</v>
          </cell>
          <cell r="F211">
            <v>2285.64</v>
          </cell>
          <cell r="G211">
            <v>224.59</v>
          </cell>
          <cell r="H211">
            <v>129</v>
          </cell>
          <cell r="I211">
            <v>377.55</v>
          </cell>
          <cell r="J211">
            <v>2200</v>
          </cell>
          <cell r="K211">
            <v>4311</v>
          </cell>
          <cell r="L211">
            <v>806</v>
          </cell>
          <cell r="M211">
            <v>15864</v>
          </cell>
          <cell r="N211">
            <v>160</v>
          </cell>
          <cell r="O211">
            <v>625.98</v>
          </cell>
          <cell r="P211">
            <v>215.63</v>
          </cell>
          <cell r="Q211">
            <v>20.95</v>
          </cell>
          <cell r="R211">
            <v>203.4</v>
          </cell>
          <cell r="S211">
            <v>842</v>
          </cell>
          <cell r="T211">
            <v>30</v>
          </cell>
        </row>
        <row r="212">
          <cell r="B212" t="str">
            <v>Provitas</v>
          </cell>
          <cell r="C212" t="str">
            <v>(ku/pohon)</v>
          </cell>
          <cell r="D212">
            <v>3.9965034965034965E-2</v>
          </cell>
          <cell r="E212">
            <v>0.34993668214436469</v>
          </cell>
          <cell r="F212">
            <v>0.18</v>
          </cell>
          <cell r="G212">
            <v>0.17001514004542015</v>
          </cell>
          <cell r="H212">
            <v>6.4307078763708878E-2</v>
          </cell>
          <cell r="I212">
            <v>0.16960916442048518</v>
          </cell>
          <cell r="J212">
            <v>0.12941176470588237</v>
          </cell>
          <cell r="K212">
            <v>0.13642405063291138</v>
          </cell>
          <cell r="L212">
            <v>5.9734677240050396E-2</v>
          </cell>
          <cell r="M212">
            <v>1.2018181818181819</v>
          </cell>
          <cell r="N212">
            <v>0.08</v>
          </cell>
          <cell r="O212">
            <v>0.24999201277955271</v>
          </cell>
          <cell r="P212">
            <v>0.12086883408071748</v>
          </cell>
          <cell r="Q212">
            <v>4.9999999999999996E-2</v>
          </cell>
          <cell r="R212">
            <v>0.15</v>
          </cell>
          <cell r="S212">
            <v>0.4</v>
          </cell>
          <cell r="T212">
            <v>0.11538461538461539</v>
          </cell>
        </row>
        <row r="213">
          <cell r="B213" t="str">
            <v>Harga/kg</v>
          </cell>
          <cell r="C213" t="str">
            <v>Rupiah</v>
          </cell>
          <cell r="D213">
            <v>4000</v>
          </cell>
          <cell r="E213">
            <v>3600</v>
          </cell>
          <cell r="F213">
            <v>5000</v>
          </cell>
          <cell r="G213">
            <v>6000</v>
          </cell>
          <cell r="H213">
            <v>5000</v>
          </cell>
          <cell r="I213">
            <v>6000</v>
          </cell>
          <cell r="J213">
            <v>6000</v>
          </cell>
          <cell r="K213">
            <v>12000</v>
          </cell>
          <cell r="L213">
            <v>8000</v>
          </cell>
          <cell r="M213">
            <v>2500</v>
          </cell>
          <cell r="N213">
            <v>5000</v>
          </cell>
          <cell r="O213">
            <v>5000</v>
          </cell>
          <cell r="P213">
            <v>5000</v>
          </cell>
          <cell r="Q213">
            <v>3000</v>
          </cell>
          <cell r="R213">
            <v>9000</v>
          </cell>
          <cell r="S213">
            <v>6000</v>
          </cell>
          <cell r="T213">
            <v>6000</v>
          </cell>
        </row>
        <row r="214">
          <cell r="A214" t="str">
            <v>Rambutan</v>
          </cell>
          <cell r="B214" t="str">
            <v>Tan Akhir Trw lalu</v>
          </cell>
          <cell r="C214" t="str">
            <v>Pohon/rumpun</v>
          </cell>
          <cell r="D214">
            <v>9550</v>
          </cell>
          <cell r="E214">
            <v>1100</v>
          </cell>
          <cell r="F214">
            <v>2154</v>
          </cell>
          <cell r="G214">
            <v>8282</v>
          </cell>
          <cell r="H214">
            <v>3680</v>
          </cell>
          <cell r="I214">
            <v>6556</v>
          </cell>
          <cell r="J214">
            <v>0</v>
          </cell>
          <cell r="K214">
            <v>160</v>
          </cell>
          <cell r="L214">
            <v>5894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6</v>
          </cell>
          <cell r="S214">
            <v>51</v>
          </cell>
          <cell r="T214">
            <v>0</v>
          </cell>
        </row>
        <row r="215">
          <cell r="B215" t="str">
            <v>Selama Triwulan</v>
          </cell>
          <cell r="C215" t="str">
            <v>Bongkar</v>
          </cell>
          <cell r="F215">
            <v>5</v>
          </cell>
          <cell r="G215">
            <v>17</v>
          </cell>
          <cell r="H215">
            <v>15</v>
          </cell>
          <cell r="I215">
            <v>12</v>
          </cell>
          <cell r="K215">
            <v>10</v>
          </cell>
          <cell r="L215">
            <v>215</v>
          </cell>
        </row>
        <row r="216">
          <cell r="C216" t="str">
            <v>Baru</v>
          </cell>
          <cell r="E216">
            <v>4</v>
          </cell>
        </row>
        <row r="217">
          <cell r="B217" t="str">
            <v xml:space="preserve">∑ Tanaman Akhir </v>
          </cell>
          <cell r="C217" t="str">
            <v>Pohon/rumpun</v>
          </cell>
          <cell r="D217">
            <v>9550</v>
          </cell>
          <cell r="E217">
            <v>1104</v>
          </cell>
          <cell r="F217">
            <v>2149</v>
          </cell>
          <cell r="G217">
            <v>8265</v>
          </cell>
          <cell r="H217">
            <v>3665</v>
          </cell>
          <cell r="I217">
            <v>6544</v>
          </cell>
          <cell r="J217">
            <v>0</v>
          </cell>
          <cell r="K217">
            <v>150</v>
          </cell>
          <cell r="L217">
            <v>5679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6</v>
          </cell>
          <cell r="S217">
            <v>51</v>
          </cell>
          <cell r="T217">
            <v>0</v>
          </cell>
        </row>
        <row r="218">
          <cell r="B218" t="str">
            <v>Di Akhir Triwulan</v>
          </cell>
          <cell r="C218" t="str">
            <v>TBM</v>
          </cell>
          <cell r="D218">
            <v>3982</v>
          </cell>
          <cell r="E218">
            <v>1104</v>
          </cell>
          <cell r="F218">
            <v>801</v>
          </cell>
          <cell r="G218">
            <v>2050</v>
          </cell>
          <cell r="H218">
            <v>87</v>
          </cell>
          <cell r="I218">
            <v>696</v>
          </cell>
          <cell r="K218">
            <v>10</v>
          </cell>
          <cell r="L218">
            <v>5311</v>
          </cell>
          <cell r="R218">
            <v>6</v>
          </cell>
          <cell r="S218">
            <v>6</v>
          </cell>
        </row>
        <row r="219">
          <cell r="C219" t="str">
            <v>TPSM</v>
          </cell>
          <cell r="D219">
            <v>5550</v>
          </cell>
          <cell r="F219">
            <v>1206</v>
          </cell>
          <cell r="G219">
            <v>1374</v>
          </cell>
          <cell r="I219">
            <v>135</v>
          </cell>
          <cell r="K219">
            <v>135</v>
          </cell>
          <cell r="L219">
            <v>289</v>
          </cell>
          <cell r="S219">
            <v>45</v>
          </cell>
        </row>
        <row r="220">
          <cell r="C220" t="str">
            <v>TPBM</v>
          </cell>
          <cell r="D220">
            <v>0</v>
          </cell>
          <cell r="E220">
            <v>0</v>
          </cell>
          <cell r="F220">
            <v>136</v>
          </cell>
          <cell r="G220">
            <v>4829</v>
          </cell>
          <cell r="H220">
            <v>3578</v>
          </cell>
          <cell r="I220">
            <v>5688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C221" t="str">
            <v>TR</v>
          </cell>
          <cell r="D221">
            <v>18</v>
          </cell>
          <cell r="F221">
            <v>6</v>
          </cell>
          <cell r="G221">
            <v>12</v>
          </cell>
          <cell r="I221">
            <v>25</v>
          </cell>
          <cell r="K221">
            <v>5</v>
          </cell>
          <cell r="L221">
            <v>79</v>
          </cell>
        </row>
        <row r="222">
          <cell r="B222" t="str">
            <v>Produksi</v>
          </cell>
          <cell r="C222" t="str">
            <v>(kuintal)</v>
          </cell>
          <cell r="D222">
            <v>665</v>
          </cell>
          <cell r="E222">
            <v>0</v>
          </cell>
          <cell r="F222">
            <v>301.5</v>
          </cell>
          <cell r="G222">
            <v>343.5</v>
          </cell>
          <cell r="H222">
            <v>0</v>
          </cell>
          <cell r="I222">
            <v>33.75</v>
          </cell>
          <cell r="J222">
            <v>0</v>
          </cell>
          <cell r="K222">
            <v>45</v>
          </cell>
          <cell r="L222">
            <v>53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22</v>
          </cell>
          <cell r="T222">
            <v>0</v>
          </cell>
        </row>
        <row r="223">
          <cell r="B223" t="str">
            <v>Provitas</v>
          </cell>
          <cell r="C223" t="str">
            <v>(ku/pohon)</v>
          </cell>
          <cell r="D223">
            <v>0.11981981981981982</v>
          </cell>
          <cell r="E223" t="e">
            <v>#DIV/0!</v>
          </cell>
          <cell r="F223">
            <v>0.25</v>
          </cell>
          <cell r="G223">
            <v>0.25</v>
          </cell>
          <cell r="H223" t="e">
            <v>#DIV/0!</v>
          </cell>
          <cell r="I223">
            <v>0.25</v>
          </cell>
          <cell r="J223" t="e">
            <v>#DIV/0!</v>
          </cell>
          <cell r="K223">
            <v>0.33333333333333331</v>
          </cell>
          <cell r="L223">
            <v>0.18339100346020762</v>
          </cell>
          <cell r="M223" t="e">
            <v>#DIV/0!</v>
          </cell>
          <cell r="N223" t="e">
            <v>#DIV/0!</v>
          </cell>
          <cell r="O223" t="e">
            <v>#DIV/0!</v>
          </cell>
          <cell r="P223" t="e">
            <v>#DIV/0!</v>
          </cell>
          <cell r="Q223" t="e">
            <v>#DIV/0!</v>
          </cell>
          <cell r="R223" t="e">
            <v>#DIV/0!</v>
          </cell>
          <cell r="S223">
            <v>0.48888888888888887</v>
          </cell>
          <cell r="T223" t="e">
            <v>#DIV/0!</v>
          </cell>
        </row>
        <row r="224">
          <cell r="B224" t="str">
            <v>Harga/kg</v>
          </cell>
          <cell r="C224" t="str">
            <v>Rupiah</v>
          </cell>
          <cell r="D224">
            <v>4000</v>
          </cell>
          <cell r="E224">
            <v>0</v>
          </cell>
          <cell r="F224">
            <v>15000</v>
          </cell>
          <cell r="G224">
            <v>8000</v>
          </cell>
          <cell r="H224">
            <v>0</v>
          </cell>
          <cell r="I224">
            <v>8000</v>
          </cell>
          <cell r="J224">
            <v>0</v>
          </cell>
          <cell r="K224">
            <v>15000</v>
          </cell>
          <cell r="L224">
            <v>10000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6000</v>
          </cell>
          <cell r="T224">
            <v>0</v>
          </cell>
        </row>
        <row r="225">
          <cell r="A225" t="str">
            <v>Salak *)</v>
          </cell>
          <cell r="B225" t="str">
            <v>Tan Akhir Trw lalu</v>
          </cell>
          <cell r="C225" t="str">
            <v>Pohon/rumpun</v>
          </cell>
          <cell r="D225">
            <v>1490</v>
          </cell>
          <cell r="E225">
            <v>3764</v>
          </cell>
          <cell r="F225">
            <v>6</v>
          </cell>
          <cell r="G225">
            <v>5770</v>
          </cell>
          <cell r="H225">
            <v>1281</v>
          </cell>
          <cell r="I225">
            <v>211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B226" t="str">
            <v>Selama Triwulan</v>
          </cell>
          <cell r="C226" t="str">
            <v>Bongkar</v>
          </cell>
          <cell r="E226">
            <v>23</v>
          </cell>
          <cell r="G226">
            <v>30</v>
          </cell>
          <cell r="I226">
            <v>14</v>
          </cell>
        </row>
        <row r="227">
          <cell r="C227" t="str">
            <v>Baru</v>
          </cell>
        </row>
        <row r="228">
          <cell r="B228" t="str">
            <v xml:space="preserve">∑ Tanaman Akhir </v>
          </cell>
          <cell r="C228" t="str">
            <v>Pohon/rumpun</v>
          </cell>
          <cell r="D228">
            <v>1490</v>
          </cell>
          <cell r="E228">
            <v>3741</v>
          </cell>
          <cell r="F228">
            <v>6</v>
          </cell>
          <cell r="G228">
            <v>5740</v>
          </cell>
          <cell r="H228">
            <v>1281</v>
          </cell>
          <cell r="I228">
            <v>197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B229" t="str">
            <v>Di Akhir Triwulan</v>
          </cell>
          <cell r="C229" t="str">
            <v>TBM</v>
          </cell>
          <cell r="D229">
            <v>44</v>
          </cell>
          <cell r="E229">
            <v>3460</v>
          </cell>
          <cell r="G229">
            <v>1025</v>
          </cell>
          <cell r="H229">
            <v>1281</v>
          </cell>
          <cell r="I229">
            <v>5</v>
          </cell>
        </row>
        <row r="230">
          <cell r="C230" t="str">
            <v>TPSM</v>
          </cell>
          <cell r="D230">
            <v>1440</v>
          </cell>
          <cell r="E230">
            <v>281</v>
          </cell>
          <cell r="F230">
            <v>4</v>
          </cell>
          <cell r="G230">
            <v>1563</v>
          </cell>
          <cell r="I230">
            <v>20</v>
          </cell>
        </row>
        <row r="231">
          <cell r="C231" t="str">
            <v>TPBM</v>
          </cell>
          <cell r="D231">
            <v>0</v>
          </cell>
          <cell r="E231">
            <v>0</v>
          </cell>
          <cell r="F231">
            <v>0</v>
          </cell>
          <cell r="G231">
            <v>3138</v>
          </cell>
          <cell r="H231">
            <v>0</v>
          </cell>
          <cell r="I231">
            <v>172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C232" t="str">
            <v>TR</v>
          </cell>
          <cell r="D232">
            <v>6</v>
          </cell>
          <cell r="F232">
            <v>2</v>
          </cell>
          <cell r="G232">
            <v>14</v>
          </cell>
        </row>
        <row r="233">
          <cell r="B233" t="str">
            <v>Produksi</v>
          </cell>
          <cell r="C233" t="str">
            <v>(kuintal)</v>
          </cell>
          <cell r="D233">
            <v>115</v>
          </cell>
          <cell r="E233">
            <v>14</v>
          </cell>
          <cell r="F233">
            <v>0.8</v>
          </cell>
          <cell r="G233">
            <v>62.27</v>
          </cell>
          <cell r="H233">
            <v>0</v>
          </cell>
          <cell r="I233">
            <v>0.8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B234" t="str">
            <v>Provitas</v>
          </cell>
          <cell r="C234" t="str">
            <v>(ku/pohon)</v>
          </cell>
          <cell r="D234">
            <v>7.9861111111111105E-2</v>
          </cell>
          <cell r="E234">
            <v>4.9822064056939501E-2</v>
          </cell>
          <cell r="F234">
            <v>0.2</v>
          </cell>
          <cell r="G234">
            <v>3.9840051183621245E-2</v>
          </cell>
          <cell r="H234" t="e">
            <v>#DIV/0!</v>
          </cell>
          <cell r="I234">
            <v>0.04</v>
          </cell>
          <cell r="J234" t="e">
            <v>#DIV/0!</v>
          </cell>
          <cell r="K234" t="e">
            <v>#DIV/0!</v>
          </cell>
          <cell r="L234" t="e">
            <v>#DIV/0!</v>
          </cell>
          <cell r="M234" t="e">
            <v>#DIV/0!</v>
          </cell>
          <cell r="N234" t="e">
            <v>#DIV/0!</v>
          </cell>
          <cell r="O234" t="e">
            <v>#DIV/0!</v>
          </cell>
          <cell r="P234" t="e">
            <v>#DIV/0!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</row>
        <row r="235">
          <cell r="B235" t="str">
            <v>Harga/kg</v>
          </cell>
          <cell r="C235" t="str">
            <v>Rupiah</v>
          </cell>
          <cell r="D235">
            <v>6000</v>
          </cell>
          <cell r="E235">
            <v>7000</v>
          </cell>
          <cell r="F235">
            <v>10000</v>
          </cell>
          <cell r="G235">
            <v>6000</v>
          </cell>
          <cell r="H235">
            <v>0</v>
          </cell>
          <cell r="I235">
            <v>7000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 t="str">
            <v>Sawo</v>
          </cell>
          <cell r="B236" t="str">
            <v>Tan Akhir Trw lalu</v>
          </cell>
          <cell r="C236" t="str">
            <v>Pohon/rumpun</v>
          </cell>
          <cell r="D236">
            <v>450</v>
          </cell>
          <cell r="E236">
            <v>750</v>
          </cell>
          <cell r="F236">
            <v>136</v>
          </cell>
          <cell r="G236">
            <v>781</v>
          </cell>
          <cell r="H236">
            <v>95</v>
          </cell>
          <cell r="I236">
            <v>469</v>
          </cell>
          <cell r="J236">
            <v>1000</v>
          </cell>
          <cell r="K236">
            <v>70</v>
          </cell>
          <cell r="L236">
            <v>2208</v>
          </cell>
          <cell r="M236">
            <v>10010</v>
          </cell>
          <cell r="N236">
            <v>115</v>
          </cell>
          <cell r="O236">
            <v>48</v>
          </cell>
          <cell r="P236">
            <v>126</v>
          </cell>
          <cell r="Q236">
            <v>297</v>
          </cell>
          <cell r="R236">
            <v>108</v>
          </cell>
          <cell r="S236">
            <v>926</v>
          </cell>
          <cell r="T236">
            <v>66</v>
          </cell>
        </row>
        <row r="237">
          <cell r="B237" t="str">
            <v>Selama Triwulan</v>
          </cell>
          <cell r="C237" t="str">
            <v>Bongkar</v>
          </cell>
          <cell r="E237">
            <v>11</v>
          </cell>
          <cell r="F237">
            <v>18</v>
          </cell>
          <cell r="G237">
            <v>26</v>
          </cell>
          <cell r="I237">
            <v>4</v>
          </cell>
          <cell r="J237">
            <v>80</v>
          </cell>
          <cell r="K237">
            <v>10</v>
          </cell>
          <cell r="L237">
            <v>147</v>
          </cell>
          <cell r="M237">
            <v>21</v>
          </cell>
          <cell r="O237">
            <v>10</v>
          </cell>
          <cell r="P237">
            <v>4</v>
          </cell>
          <cell r="Q237">
            <v>21</v>
          </cell>
          <cell r="R237">
            <v>12</v>
          </cell>
        </row>
        <row r="238">
          <cell r="C238" t="str">
            <v>Baru</v>
          </cell>
        </row>
        <row r="239">
          <cell r="B239" t="str">
            <v xml:space="preserve">∑ Tanaman Akhir </v>
          </cell>
          <cell r="C239" t="str">
            <v>Pohon/rumpun</v>
          </cell>
          <cell r="D239">
            <v>450</v>
          </cell>
          <cell r="E239">
            <v>739</v>
          </cell>
          <cell r="F239">
            <v>118</v>
          </cell>
          <cell r="G239">
            <v>755</v>
          </cell>
          <cell r="H239">
            <v>95</v>
          </cell>
          <cell r="I239">
            <v>465</v>
          </cell>
          <cell r="J239">
            <v>920</v>
          </cell>
          <cell r="K239">
            <v>60</v>
          </cell>
          <cell r="L239">
            <v>2061</v>
          </cell>
          <cell r="M239">
            <v>9989</v>
          </cell>
          <cell r="N239">
            <v>115</v>
          </cell>
          <cell r="O239">
            <v>38</v>
          </cell>
          <cell r="P239">
            <v>122</v>
          </cell>
          <cell r="Q239">
            <v>276</v>
          </cell>
          <cell r="R239">
            <v>96</v>
          </cell>
          <cell r="S239">
            <v>926</v>
          </cell>
          <cell r="T239">
            <v>66</v>
          </cell>
        </row>
        <row r="240">
          <cell r="B240" t="str">
            <v>Di Akhir Triwulan</v>
          </cell>
          <cell r="C240" t="str">
            <v>TBM</v>
          </cell>
          <cell r="D240">
            <v>96</v>
          </cell>
          <cell r="E240">
            <v>563</v>
          </cell>
          <cell r="F240">
            <v>17</v>
          </cell>
          <cell r="G240">
            <v>256</v>
          </cell>
          <cell r="I240">
            <v>100</v>
          </cell>
          <cell r="K240">
            <v>10</v>
          </cell>
          <cell r="L240">
            <v>1115</v>
          </cell>
          <cell r="M240">
            <v>299</v>
          </cell>
          <cell r="N240">
            <v>115</v>
          </cell>
          <cell r="O240">
            <v>8</v>
          </cell>
          <cell r="P240">
            <v>12</v>
          </cell>
          <cell r="Q240">
            <v>83</v>
          </cell>
          <cell r="R240">
            <v>31</v>
          </cell>
          <cell r="S240">
            <v>490</v>
          </cell>
          <cell r="T240">
            <v>66</v>
          </cell>
        </row>
        <row r="241">
          <cell r="C241" t="str">
            <v>TPSM</v>
          </cell>
          <cell r="D241">
            <v>350</v>
          </cell>
          <cell r="E241">
            <v>176</v>
          </cell>
          <cell r="F241">
            <v>83</v>
          </cell>
          <cell r="G241">
            <v>325</v>
          </cell>
          <cell r="H241">
            <v>34</v>
          </cell>
          <cell r="I241">
            <v>77</v>
          </cell>
          <cell r="J241">
            <v>920</v>
          </cell>
          <cell r="K241">
            <v>50</v>
          </cell>
          <cell r="L241">
            <v>857</v>
          </cell>
          <cell r="M241">
            <v>9690</v>
          </cell>
          <cell r="O241">
            <v>29</v>
          </cell>
          <cell r="P241">
            <v>110</v>
          </cell>
          <cell r="Q241">
            <v>182</v>
          </cell>
          <cell r="R241">
            <v>65</v>
          </cell>
          <cell r="S241">
            <v>436</v>
          </cell>
        </row>
        <row r="242">
          <cell r="C242" t="str">
            <v>TPBM</v>
          </cell>
          <cell r="D242">
            <v>0</v>
          </cell>
          <cell r="E242">
            <v>0</v>
          </cell>
          <cell r="F242">
            <v>9</v>
          </cell>
          <cell r="G242">
            <v>168</v>
          </cell>
          <cell r="H242">
            <v>61</v>
          </cell>
          <cell r="I242">
            <v>288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C243" t="str">
            <v>TR</v>
          </cell>
          <cell r="D243">
            <v>4</v>
          </cell>
          <cell r="F243">
            <v>9</v>
          </cell>
          <cell r="G243">
            <v>6</v>
          </cell>
          <cell r="L243">
            <v>89</v>
          </cell>
          <cell r="O243">
            <v>1</v>
          </cell>
          <cell r="Q243">
            <v>11</v>
          </cell>
        </row>
        <row r="244">
          <cell r="B244" t="str">
            <v>Produksi</v>
          </cell>
          <cell r="C244" t="str">
            <v>(kuintal)</v>
          </cell>
          <cell r="D244">
            <v>35</v>
          </cell>
          <cell r="E244">
            <v>53</v>
          </cell>
          <cell r="F244">
            <v>20.75</v>
          </cell>
          <cell r="G244">
            <v>94.39</v>
          </cell>
          <cell r="H244">
            <v>24</v>
          </cell>
          <cell r="I244">
            <v>22.35</v>
          </cell>
          <cell r="J244">
            <v>200</v>
          </cell>
          <cell r="K244">
            <v>9</v>
          </cell>
          <cell r="L244">
            <v>147</v>
          </cell>
          <cell r="M244">
            <v>456.02</v>
          </cell>
          <cell r="N244">
            <v>0</v>
          </cell>
          <cell r="O244">
            <v>23</v>
          </cell>
          <cell r="P244">
            <v>56.2</v>
          </cell>
          <cell r="Q244">
            <v>9.1</v>
          </cell>
          <cell r="R244">
            <v>0.65</v>
          </cell>
          <cell r="S244">
            <v>130</v>
          </cell>
          <cell r="T244">
            <v>0</v>
          </cell>
        </row>
        <row r="245">
          <cell r="B245" t="str">
            <v>Provitas</v>
          </cell>
          <cell r="C245" t="str">
            <v>(ku/pohon)</v>
          </cell>
          <cell r="D245">
            <v>0.1</v>
          </cell>
          <cell r="E245">
            <v>0.30113636363636365</v>
          </cell>
          <cell r="F245">
            <v>0.25</v>
          </cell>
          <cell r="G245">
            <v>0.29043076923076921</v>
          </cell>
          <cell r="H245">
            <v>0.70588235294117652</v>
          </cell>
          <cell r="I245">
            <v>0.29025974025974027</v>
          </cell>
          <cell r="J245">
            <v>0.21739130434782608</v>
          </cell>
          <cell r="K245">
            <v>0.18</v>
          </cell>
          <cell r="L245">
            <v>0.17152858809801633</v>
          </cell>
          <cell r="M245">
            <v>4.7060887512899892E-2</v>
          </cell>
          <cell r="N245" t="e">
            <v>#DIV/0!</v>
          </cell>
          <cell r="O245">
            <v>0.7931034482758621</v>
          </cell>
          <cell r="P245">
            <v>0.51090909090909098</v>
          </cell>
          <cell r="Q245">
            <v>4.9999999999999996E-2</v>
          </cell>
          <cell r="R245">
            <v>0.01</v>
          </cell>
          <cell r="S245">
            <v>0.29816513761467889</v>
          </cell>
          <cell r="T245" t="e">
            <v>#DIV/0!</v>
          </cell>
        </row>
        <row r="246">
          <cell r="B246" t="str">
            <v>Harga/kg</v>
          </cell>
          <cell r="C246" t="str">
            <v>Rupiah</v>
          </cell>
          <cell r="D246">
            <v>5000</v>
          </cell>
          <cell r="E246">
            <v>10000</v>
          </cell>
          <cell r="F246">
            <v>20000</v>
          </cell>
          <cell r="G246">
            <v>11000</v>
          </cell>
          <cell r="H246">
            <v>12000</v>
          </cell>
          <cell r="I246">
            <v>9000</v>
          </cell>
          <cell r="J246">
            <v>11000</v>
          </cell>
          <cell r="K246">
            <v>10000</v>
          </cell>
          <cell r="L246">
            <v>5000</v>
          </cell>
          <cell r="M246">
            <v>12000</v>
          </cell>
          <cell r="N246">
            <v>0</v>
          </cell>
          <cell r="O246">
            <v>5000</v>
          </cell>
          <cell r="P246">
            <v>15000</v>
          </cell>
          <cell r="Q246">
            <v>8000</v>
          </cell>
          <cell r="R246">
            <v>9000</v>
          </cell>
          <cell r="S246">
            <v>5000</v>
          </cell>
          <cell r="T246">
            <v>0</v>
          </cell>
        </row>
        <row r="247">
          <cell r="A247" t="str">
            <v>Sirsak</v>
          </cell>
          <cell r="B247" t="str">
            <v>Tan Akhir Trw lalu</v>
          </cell>
          <cell r="C247" t="str">
            <v>Pohon/rumpun</v>
          </cell>
          <cell r="D247">
            <v>825</v>
          </cell>
          <cell r="E247">
            <v>1125</v>
          </cell>
          <cell r="F247">
            <v>186</v>
          </cell>
          <cell r="G247">
            <v>923</v>
          </cell>
          <cell r="H247">
            <v>787</v>
          </cell>
          <cell r="I247">
            <v>426</v>
          </cell>
          <cell r="J247">
            <v>0</v>
          </cell>
          <cell r="K247">
            <v>0</v>
          </cell>
          <cell r="L247">
            <v>3494</v>
          </cell>
          <cell r="M247">
            <v>0</v>
          </cell>
          <cell r="N247">
            <v>100</v>
          </cell>
          <cell r="O247">
            <v>10</v>
          </cell>
          <cell r="P247">
            <v>0</v>
          </cell>
          <cell r="Q247">
            <v>76</v>
          </cell>
          <cell r="R247">
            <v>31</v>
          </cell>
          <cell r="S247">
            <v>0</v>
          </cell>
          <cell r="T247">
            <v>0</v>
          </cell>
        </row>
        <row r="248">
          <cell r="B248" t="str">
            <v>Selama Triwulan</v>
          </cell>
          <cell r="C248" t="str">
            <v>Bongkar</v>
          </cell>
          <cell r="F248">
            <v>17</v>
          </cell>
          <cell r="G248">
            <v>7</v>
          </cell>
          <cell r="I248">
            <v>5</v>
          </cell>
          <cell r="L248">
            <v>186</v>
          </cell>
          <cell r="O248">
            <v>2</v>
          </cell>
          <cell r="Q248">
            <v>13</v>
          </cell>
          <cell r="R248">
            <v>1</v>
          </cell>
        </row>
        <row r="249">
          <cell r="C249" t="str">
            <v>Baru</v>
          </cell>
        </row>
        <row r="250">
          <cell r="B250" t="str">
            <v xml:space="preserve">∑ Tanaman Akhir </v>
          </cell>
          <cell r="C250" t="str">
            <v>Pohon/rumpun</v>
          </cell>
          <cell r="D250">
            <v>825</v>
          </cell>
          <cell r="E250">
            <v>1125</v>
          </cell>
          <cell r="F250">
            <v>169</v>
          </cell>
          <cell r="G250">
            <v>916</v>
          </cell>
          <cell r="H250">
            <v>787</v>
          </cell>
          <cell r="I250">
            <v>421</v>
          </cell>
          <cell r="J250">
            <v>0</v>
          </cell>
          <cell r="K250">
            <v>0</v>
          </cell>
          <cell r="L250">
            <v>3308</v>
          </cell>
          <cell r="M250">
            <v>0</v>
          </cell>
          <cell r="N250">
            <v>100</v>
          </cell>
          <cell r="O250">
            <v>8</v>
          </cell>
          <cell r="P250">
            <v>0</v>
          </cell>
          <cell r="Q250">
            <v>63</v>
          </cell>
          <cell r="R250">
            <v>30</v>
          </cell>
          <cell r="S250">
            <v>0</v>
          </cell>
          <cell r="T250">
            <v>0</v>
          </cell>
        </row>
        <row r="251">
          <cell r="B251" t="str">
            <v>Di Akhir Triwulan</v>
          </cell>
          <cell r="C251" t="str">
            <v>TBM</v>
          </cell>
          <cell r="D251">
            <v>146</v>
          </cell>
          <cell r="E251">
            <v>600</v>
          </cell>
          <cell r="F251">
            <v>74</v>
          </cell>
          <cell r="G251">
            <v>305</v>
          </cell>
          <cell r="H251">
            <v>500</v>
          </cell>
          <cell r="I251">
            <v>85</v>
          </cell>
          <cell r="L251">
            <v>1531</v>
          </cell>
          <cell r="N251">
            <v>75</v>
          </cell>
          <cell r="O251">
            <v>2</v>
          </cell>
          <cell r="Q251">
            <v>25</v>
          </cell>
          <cell r="R251">
            <v>24</v>
          </cell>
        </row>
        <row r="252">
          <cell r="C252" t="str">
            <v>TPSM</v>
          </cell>
          <cell r="D252">
            <v>675</v>
          </cell>
          <cell r="E252">
            <v>525</v>
          </cell>
          <cell r="F252">
            <v>91</v>
          </cell>
          <cell r="H252">
            <v>115</v>
          </cell>
          <cell r="I252">
            <v>60</v>
          </cell>
          <cell r="L252">
            <v>1634</v>
          </cell>
          <cell r="N252">
            <v>25</v>
          </cell>
          <cell r="O252">
            <v>6</v>
          </cell>
          <cell r="Q252">
            <v>38</v>
          </cell>
          <cell r="R252">
            <v>6</v>
          </cell>
        </row>
        <row r="253">
          <cell r="C253" t="str">
            <v>TPBM</v>
          </cell>
          <cell r="D253">
            <v>0</v>
          </cell>
          <cell r="E253">
            <v>0</v>
          </cell>
          <cell r="F253">
            <v>2</v>
          </cell>
          <cell r="G253">
            <v>608</v>
          </cell>
          <cell r="H253">
            <v>172</v>
          </cell>
          <cell r="I253">
            <v>270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C254" t="str">
            <v>TR</v>
          </cell>
          <cell r="D254">
            <v>4</v>
          </cell>
          <cell r="F254">
            <v>2</v>
          </cell>
          <cell r="G254">
            <v>3</v>
          </cell>
          <cell r="I254">
            <v>6</v>
          </cell>
          <cell r="L254">
            <v>143</v>
          </cell>
        </row>
        <row r="255">
          <cell r="B255" t="str">
            <v>Produksi</v>
          </cell>
          <cell r="C255" t="str">
            <v>(kuintal)</v>
          </cell>
          <cell r="D255">
            <v>54</v>
          </cell>
          <cell r="E255">
            <v>105</v>
          </cell>
          <cell r="F255">
            <v>12.74</v>
          </cell>
          <cell r="G255">
            <v>0</v>
          </cell>
          <cell r="H255">
            <v>63</v>
          </cell>
          <cell r="I255">
            <v>4.8</v>
          </cell>
          <cell r="J255">
            <v>0</v>
          </cell>
          <cell r="K255">
            <v>0</v>
          </cell>
          <cell r="L255">
            <v>137</v>
          </cell>
          <cell r="M255">
            <v>0</v>
          </cell>
          <cell r="N255">
            <v>3</v>
          </cell>
          <cell r="O255">
            <v>1.2</v>
          </cell>
          <cell r="P255">
            <v>0</v>
          </cell>
          <cell r="Q255">
            <v>1.9</v>
          </cell>
          <cell r="R255">
            <v>0.02</v>
          </cell>
          <cell r="S255">
            <v>0</v>
          </cell>
          <cell r="T255">
            <v>0</v>
          </cell>
        </row>
        <row r="256">
          <cell r="B256" t="str">
            <v>Provitas</v>
          </cell>
          <cell r="C256" t="str">
            <v>(ku/pohon)</v>
          </cell>
          <cell r="D256">
            <v>0.08</v>
          </cell>
          <cell r="E256">
            <v>0.2</v>
          </cell>
          <cell r="F256">
            <v>0.14000000000000001</v>
          </cell>
          <cell r="G256" t="e">
            <v>#DIV/0!</v>
          </cell>
          <cell r="H256">
            <v>0.54782608695652169</v>
          </cell>
          <cell r="I256">
            <v>0.08</v>
          </cell>
          <cell r="J256" t="e">
            <v>#DIV/0!</v>
          </cell>
          <cell r="K256" t="e">
            <v>#DIV/0!</v>
          </cell>
          <cell r="L256">
            <v>8.3843329253365975E-2</v>
          </cell>
          <cell r="M256" t="e">
            <v>#DIV/0!</v>
          </cell>
          <cell r="N256">
            <v>0.12</v>
          </cell>
          <cell r="O256">
            <v>0.19999999999999998</v>
          </cell>
          <cell r="P256" t="e">
            <v>#DIV/0!</v>
          </cell>
          <cell r="Q256">
            <v>4.9999999999999996E-2</v>
          </cell>
          <cell r="R256">
            <v>3.3333333333333335E-3</v>
          </cell>
          <cell r="S256" t="e">
            <v>#DIV/0!</v>
          </cell>
          <cell r="T256" t="e">
            <v>#DIV/0!</v>
          </cell>
        </row>
        <row r="257">
          <cell r="B257" t="str">
            <v>Harga/kg</v>
          </cell>
          <cell r="C257" t="str">
            <v>Rupiah</v>
          </cell>
          <cell r="D257">
            <v>4000</v>
          </cell>
          <cell r="E257">
            <v>11000</v>
          </cell>
          <cell r="F257">
            <v>10000</v>
          </cell>
          <cell r="G257">
            <v>0</v>
          </cell>
          <cell r="H257">
            <v>3200</v>
          </cell>
          <cell r="I257">
            <v>5500</v>
          </cell>
          <cell r="J257">
            <v>0</v>
          </cell>
          <cell r="K257">
            <v>0</v>
          </cell>
          <cell r="L257">
            <v>5000</v>
          </cell>
          <cell r="M257">
            <v>0</v>
          </cell>
          <cell r="N257">
            <v>8000</v>
          </cell>
          <cell r="O257">
            <v>6000</v>
          </cell>
          <cell r="P257">
            <v>0</v>
          </cell>
          <cell r="Q257">
            <v>7500</v>
          </cell>
          <cell r="R257">
            <v>7000</v>
          </cell>
          <cell r="S257">
            <v>0</v>
          </cell>
          <cell r="T257">
            <v>0</v>
          </cell>
        </row>
        <row r="258">
          <cell r="A258" t="str">
            <v>Sukun</v>
          </cell>
          <cell r="B258" t="str">
            <v>Tan Akhir Trw lalu</v>
          </cell>
          <cell r="C258" t="str">
            <v>Pohon/rumpun</v>
          </cell>
          <cell r="D258">
            <v>1400</v>
          </cell>
          <cell r="E258">
            <v>142</v>
          </cell>
          <cell r="F258">
            <v>182</v>
          </cell>
          <cell r="G258">
            <v>1364</v>
          </cell>
          <cell r="H258">
            <v>181</v>
          </cell>
          <cell r="I258">
            <v>5899</v>
          </cell>
          <cell r="J258">
            <v>0</v>
          </cell>
          <cell r="K258">
            <v>6600</v>
          </cell>
          <cell r="L258">
            <v>23</v>
          </cell>
          <cell r="M258">
            <v>610</v>
          </cell>
          <cell r="N258">
            <v>70</v>
          </cell>
          <cell r="O258">
            <v>12</v>
          </cell>
          <cell r="P258">
            <v>75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B259" t="str">
            <v>Selama Triwulan</v>
          </cell>
          <cell r="C259" t="str">
            <v>Bongkar</v>
          </cell>
          <cell r="F259">
            <v>17</v>
          </cell>
          <cell r="G259">
            <v>12</v>
          </cell>
          <cell r="I259">
            <v>220</v>
          </cell>
          <cell r="K259">
            <v>200</v>
          </cell>
          <cell r="M259">
            <v>13</v>
          </cell>
          <cell r="O259">
            <v>2</v>
          </cell>
          <cell r="P259">
            <v>2</v>
          </cell>
        </row>
        <row r="260">
          <cell r="C260" t="str">
            <v>Baru</v>
          </cell>
          <cell r="H260">
            <v>17</v>
          </cell>
        </row>
        <row r="261">
          <cell r="B261" t="str">
            <v xml:space="preserve">∑ Tanaman Akhir </v>
          </cell>
          <cell r="C261" t="str">
            <v>Pohon/rumpun</v>
          </cell>
          <cell r="D261">
            <v>1400</v>
          </cell>
          <cell r="E261">
            <v>142</v>
          </cell>
          <cell r="F261">
            <v>165</v>
          </cell>
          <cell r="G261">
            <v>1352</v>
          </cell>
          <cell r="H261">
            <v>198</v>
          </cell>
          <cell r="I261">
            <v>5679</v>
          </cell>
          <cell r="J261">
            <v>0</v>
          </cell>
          <cell r="K261">
            <v>6400</v>
          </cell>
          <cell r="L261">
            <v>23</v>
          </cell>
          <cell r="M261">
            <v>597</v>
          </cell>
          <cell r="N261">
            <v>70</v>
          </cell>
          <cell r="O261">
            <v>10</v>
          </cell>
          <cell r="P261">
            <v>73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B262" t="str">
            <v>Di Akhir Triwulan</v>
          </cell>
          <cell r="C262" t="str">
            <v>TBM</v>
          </cell>
          <cell r="D262">
            <v>489</v>
          </cell>
          <cell r="E262">
            <v>142</v>
          </cell>
          <cell r="F262">
            <v>93</v>
          </cell>
          <cell r="G262">
            <v>478</v>
          </cell>
          <cell r="H262">
            <v>17</v>
          </cell>
          <cell r="I262">
            <v>225</v>
          </cell>
          <cell r="K262">
            <v>200</v>
          </cell>
          <cell r="L262">
            <v>8</v>
          </cell>
          <cell r="M262">
            <v>13</v>
          </cell>
          <cell r="N262">
            <v>10</v>
          </cell>
          <cell r="O262">
            <v>2</v>
          </cell>
          <cell r="P262">
            <v>41</v>
          </cell>
        </row>
        <row r="263">
          <cell r="C263" t="str">
            <v>TPSM</v>
          </cell>
          <cell r="D263">
            <v>904</v>
          </cell>
          <cell r="F263">
            <v>63</v>
          </cell>
          <cell r="H263">
            <v>52</v>
          </cell>
          <cell r="K263">
            <v>6150</v>
          </cell>
          <cell r="L263">
            <v>15</v>
          </cell>
          <cell r="M263">
            <v>584</v>
          </cell>
          <cell r="N263">
            <v>60</v>
          </cell>
          <cell r="O263">
            <v>7</v>
          </cell>
          <cell r="P263">
            <v>31</v>
          </cell>
        </row>
        <row r="264">
          <cell r="C264" t="str">
            <v>TPBM</v>
          </cell>
          <cell r="D264">
            <v>0</v>
          </cell>
          <cell r="E264">
            <v>0</v>
          </cell>
          <cell r="F264">
            <v>2</v>
          </cell>
          <cell r="G264">
            <v>864</v>
          </cell>
          <cell r="H264">
            <v>129</v>
          </cell>
          <cell r="I264">
            <v>5319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C265" t="str">
            <v>TR</v>
          </cell>
          <cell r="D265">
            <v>7</v>
          </cell>
          <cell r="F265">
            <v>7</v>
          </cell>
          <cell r="G265">
            <v>10</v>
          </cell>
          <cell r="I265">
            <v>135</v>
          </cell>
          <cell r="K265">
            <v>50</v>
          </cell>
          <cell r="P265">
            <v>1</v>
          </cell>
        </row>
        <row r="266">
          <cell r="B266" t="str">
            <v>Produksi</v>
          </cell>
          <cell r="C266" t="str">
            <v>(kuintal)</v>
          </cell>
          <cell r="D266">
            <v>135</v>
          </cell>
          <cell r="E266">
            <v>0</v>
          </cell>
          <cell r="F266">
            <v>75.599999999999994</v>
          </cell>
          <cell r="G266">
            <v>0</v>
          </cell>
          <cell r="H266">
            <v>21</v>
          </cell>
          <cell r="I266">
            <v>0</v>
          </cell>
          <cell r="J266">
            <v>0</v>
          </cell>
          <cell r="K266">
            <v>650</v>
          </cell>
          <cell r="L266">
            <v>6</v>
          </cell>
          <cell r="M266">
            <v>2005.78</v>
          </cell>
          <cell r="N266">
            <v>14</v>
          </cell>
          <cell r="O266">
            <v>3.6</v>
          </cell>
          <cell r="P266">
            <v>16.43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B267" t="str">
            <v>Provitas</v>
          </cell>
          <cell r="C267" t="str">
            <v>(ku/pohon)</v>
          </cell>
          <cell r="D267">
            <v>0.14933628318584072</v>
          </cell>
          <cell r="E267" t="e">
            <v>#DIV/0!</v>
          </cell>
          <cell r="F267">
            <v>1.2</v>
          </cell>
          <cell r="G267" t="e">
            <v>#DIV/0!</v>
          </cell>
          <cell r="H267">
            <v>0.40384615384615385</v>
          </cell>
          <cell r="I267" t="e">
            <v>#DIV/0!</v>
          </cell>
          <cell r="J267" t="e">
            <v>#DIV/0!</v>
          </cell>
          <cell r="K267">
            <v>0.10569105691056911</v>
          </cell>
          <cell r="L267">
            <v>0.4</v>
          </cell>
          <cell r="M267">
            <v>3.4345547945205479</v>
          </cell>
          <cell r="N267">
            <v>0.23333333333333334</v>
          </cell>
          <cell r="O267">
            <v>0.51428571428571435</v>
          </cell>
          <cell r="P267">
            <v>0.53</v>
          </cell>
          <cell r="Q267" t="e">
            <v>#DIV/0!</v>
          </cell>
          <cell r="R267" t="e">
            <v>#DIV/0!</v>
          </cell>
          <cell r="S267" t="e">
            <v>#DIV/0!</v>
          </cell>
          <cell r="T267" t="e">
            <v>#DIV/0!</v>
          </cell>
        </row>
        <row r="268">
          <cell r="B268" t="str">
            <v>Harga/kg</v>
          </cell>
          <cell r="C268" t="str">
            <v>Rupiah</v>
          </cell>
          <cell r="D268">
            <v>5400</v>
          </cell>
          <cell r="E268">
            <v>0</v>
          </cell>
          <cell r="F268">
            <v>10000</v>
          </cell>
          <cell r="G268">
            <v>0</v>
          </cell>
          <cell r="H268">
            <v>5000</v>
          </cell>
          <cell r="I268">
            <v>0</v>
          </cell>
          <cell r="J268">
            <v>0</v>
          </cell>
          <cell r="K268">
            <v>10000</v>
          </cell>
          <cell r="L268">
            <v>5000</v>
          </cell>
          <cell r="M268">
            <v>6000</v>
          </cell>
          <cell r="N268">
            <v>5500</v>
          </cell>
          <cell r="O268">
            <v>5000</v>
          </cell>
          <cell r="P268">
            <v>12000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 t="str">
            <v>Melinjo</v>
          </cell>
          <cell r="B269" t="str">
            <v>Tan Akhir Trw lalu</v>
          </cell>
          <cell r="C269" t="str">
            <v>Pohon/rumpun</v>
          </cell>
          <cell r="D269">
            <v>4270</v>
          </cell>
          <cell r="E269">
            <v>275</v>
          </cell>
          <cell r="F269">
            <v>11814</v>
          </cell>
          <cell r="G269">
            <v>14016</v>
          </cell>
          <cell r="H269">
            <v>2103</v>
          </cell>
          <cell r="I269">
            <v>31824</v>
          </cell>
          <cell r="J269">
            <v>57</v>
          </cell>
          <cell r="K269">
            <v>300</v>
          </cell>
          <cell r="L269">
            <v>743</v>
          </cell>
          <cell r="M269">
            <v>1174</v>
          </cell>
          <cell r="N269">
            <v>60</v>
          </cell>
          <cell r="O269">
            <v>232</v>
          </cell>
          <cell r="P269">
            <v>0</v>
          </cell>
          <cell r="Q269">
            <v>0</v>
          </cell>
          <cell r="R269">
            <v>35</v>
          </cell>
          <cell r="S269">
            <v>850</v>
          </cell>
          <cell r="T269">
            <v>0</v>
          </cell>
        </row>
        <row r="270">
          <cell r="B270" t="str">
            <v>Selama Triwulan</v>
          </cell>
          <cell r="C270" t="str">
            <v>Bongkar</v>
          </cell>
          <cell r="F270">
            <v>98</v>
          </cell>
          <cell r="G270">
            <v>31</v>
          </cell>
          <cell r="H270">
            <v>23</v>
          </cell>
          <cell r="I270">
            <v>190</v>
          </cell>
          <cell r="K270">
            <v>10</v>
          </cell>
          <cell r="L270">
            <v>16</v>
          </cell>
          <cell r="M270">
            <v>13</v>
          </cell>
          <cell r="O270">
            <v>46</v>
          </cell>
          <cell r="R270">
            <v>2</v>
          </cell>
        </row>
        <row r="271">
          <cell r="C271" t="str">
            <v>Baru</v>
          </cell>
        </row>
        <row r="272">
          <cell r="B272" t="str">
            <v xml:space="preserve">∑ Tanaman Akhir </v>
          </cell>
          <cell r="C272" t="str">
            <v>Pohon/rumpun</v>
          </cell>
          <cell r="D272">
            <v>4270</v>
          </cell>
          <cell r="E272">
            <v>275</v>
          </cell>
          <cell r="F272">
            <v>11716</v>
          </cell>
          <cell r="G272">
            <v>13985</v>
          </cell>
          <cell r="H272">
            <v>2080</v>
          </cell>
          <cell r="I272">
            <v>31634</v>
          </cell>
          <cell r="J272">
            <v>57</v>
          </cell>
          <cell r="K272">
            <v>290</v>
          </cell>
          <cell r="L272">
            <v>727</v>
          </cell>
          <cell r="M272">
            <v>1161</v>
          </cell>
          <cell r="N272">
            <v>60</v>
          </cell>
          <cell r="O272">
            <v>186</v>
          </cell>
          <cell r="P272">
            <v>0</v>
          </cell>
          <cell r="Q272">
            <v>0</v>
          </cell>
          <cell r="R272">
            <v>33</v>
          </cell>
          <cell r="S272">
            <v>850</v>
          </cell>
          <cell r="T272">
            <v>0</v>
          </cell>
        </row>
        <row r="273">
          <cell r="B273" t="str">
            <v>Di Akhir Triwulan</v>
          </cell>
          <cell r="C273" t="str">
            <v>TBM</v>
          </cell>
          <cell r="D273">
            <v>745</v>
          </cell>
          <cell r="E273">
            <v>275</v>
          </cell>
          <cell r="F273">
            <v>5012</v>
          </cell>
          <cell r="G273">
            <v>1620</v>
          </cell>
          <cell r="H273">
            <v>66</v>
          </cell>
          <cell r="I273">
            <v>1656</v>
          </cell>
          <cell r="K273">
            <v>10</v>
          </cell>
          <cell r="L273">
            <v>208</v>
          </cell>
          <cell r="M273">
            <v>210</v>
          </cell>
          <cell r="N273">
            <v>6</v>
          </cell>
          <cell r="O273">
            <v>37</v>
          </cell>
          <cell r="R273">
            <v>12</v>
          </cell>
          <cell r="S273">
            <v>290</v>
          </cell>
        </row>
        <row r="274">
          <cell r="C274" t="str">
            <v>TPSM</v>
          </cell>
          <cell r="D274">
            <v>3520</v>
          </cell>
          <cell r="F274">
            <v>6275</v>
          </cell>
          <cell r="G274">
            <v>6236</v>
          </cell>
          <cell r="H274">
            <v>540</v>
          </cell>
          <cell r="I274">
            <v>2100</v>
          </cell>
          <cell r="J274">
            <v>57</v>
          </cell>
          <cell r="K274">
            <v>280</v>
          </cell>
          <cell r="L274">
            <v>506</v>
          </cell>
          <cell r="M274">
            <v>951</v>
          </cell>
          <cell r="N274">
            <v>54</v>
          </cell>
          <cell r="O274">
            <v>139</v>
          </cell>
          <cell r="R274">
            <v>21</v>
          </cell>
          <cell r="S274">
            <v>560</v>
          </cell>
        </row>
        <row r="275">
          <cell r="C275" t="str">
            <v>TPBM</v>
          </cell>
          <cell r="D275">
            <v>0</v>
          </cell>
          <cell r="E275">
            <v>0</v>
          </cell>
          <cell r="F275">
            <v>423</v>
          </cell>
          <cell r="G275">
            <v>6075</v>
          </cell>
          <cell r="H275">
            <v>1474</v>
          </cell>
          <cell r="I275">
            <v>27664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C276" t="str">
            <v>TR</v>
          </cell>
          <cell r="D276">
            <v>5</v>
          </cell>
          <cell r="F276">
            <v>6</v>
          </cell>
          <cell r="G276">
            <v>54</v>
          </cell>
          <cell r="I276">
            <v>214</v>
          </cell>
          <cell r="L276">
            <v>13</v>
          </cell>
          <cell r="O276">
            <v>9</v>
          </cell>
        </row>
        <row r="277">
          <cell r="B277" t="str">
            <v>Produksi</v>
          </cell>
          <cell r="C277" t="str">
            <v>(kuintal)</v>
          </cell>
          <cell r="D277">
            <v>316</v>
          </cell>
          <cell r="E277">
            <v>0</v>
          </cell>
          <cell r="F277">
            <v>816.15</v>
          </cell>
          <cell r="G277">
            <v>998.04</v>
          </cell>
          <cell r="H277">
            <v>320</v>
          </cell>
          <cell r="I277">
            <v>336.1</v>
          </cell>
          <cell r="J277">
            <v>9</v>
          </cell>
          <cell r="K277">
            <v>20</v>
          </cell>
          <cell r="L277">
            <v>55</v>
          </cell>
          <cell r="M277">
            <v>37.950000000000003</v>
          </cell>
          <cell r="N277">
            <v>7</v>
          </cell>
          <cell r="O277">
            <v>28</v>
          </cell>
          <cell r="P277">
            <v>0</v>
          </cell>
          <cell r="Q277">
            <v>0</v>
          </cell>
          <cell r="R277">
            <v>0.28999999999999998</v>
          </cell>
          <cell r="S277">
            <v>28</v>
          </cell>
          <cell r="T277">
            <v>0</v>
          </cell>
        </row>
        <row r="278">
          <cell r="B278" t="str">
            <v>Provitas</v>
          </cell>
          <cell r="C278" t="str">
            <v>(ku/pohon)</v>
          </cell>
          <cell r="D278">
            <v>8.9772727272727268E-2</v>
          </cell>
          <cell r="E278" t="e">
            <v>#DIV/0!</v>
          </cell>
          <cell r="F278">
            <v>0.13006374501992032</v>
          </cell>
          <cell r="G278">
            <v>0.16004490057729312</v>
          </cell>
          <cell r="H278">
            <v>0.59259259259259256</v>
          </cell>
          <cell r="I278">
            <v>0.16004761904761905</v>
          </cell>
          <cell r="J278">
            <v>0.15789473684210525</v>
          </cell>
          <cell r="K278">
            <v>7.1428571428571425E-2</v>
          </cell>
          <cell r="L278">
            <v>0.10869565217391304</v>
          </cell>
          <cell r="M278">
            <v>3.9905362776025237E-2</v>
          </cell>
          <cell r="N278">
            <v>0.12962962962962962</v>
          </cell>
          <cell r="O278">
            <v>0.20143884892086331</v>
          </cell>
          <cell r="P278" t="e">
            <v>#DIV/0!</v>
          </cell>
          <cell r="Q278" t="e">
            <v>#DIV/0!</v>
          </cell>
          <cell r="R278">
            <v>1.3809523809523808E-2</v>
          </cell>
          <cell r="S278">
            <v>0.05</v>
          </cell>
          <cell r="T278" t="e">
            <v>#DIV/0!</v>
          </cell>
        </row>
        <row r="279">
          <cell r="B279" t="str">
            <v>Harga/kg</v>
          </cell>
          <cell r="C279" t="str">
            <v>Rupiah</v>
          </cell>
          <cell r="D279">
            <v>7500</v>
          </cell>
          <cell r="E279">
            <v>0</v>
          </cell>
          <cell r="F279">
            <v>25000</v>
          </cell>
          <cell r="G279">
            <v>8000</v>
          </cell>
          <cell r="H279">
            <v>6000</v>
          </cell>
          <cell r="I279">
            <v>13000</v>
          </cell>
          <cell r="J279">
            <v>6000</v>
          </cell>
          <cell r="K279">
            <v>7000</v>
          </cell>
          <cell r="L279">
            <v>10000</v>
          </cell>
          <cell r="M279">
            <v>11000</v>
          </cell>
          <cell r="N279">
            <v>14000</v>
          </cell>
          <cell r="O279">
            <v>2500</v>
          </cell>
          <cell r="P279">
            <v>0</v>
          </cell>
          <cell r="Q279">
            <v>0</v>
          </cell>
          <cell r="R279">
            <v>5000</v>
          </cell>
          <cell r="S279">
            <v>10000</v>
          </cell>
          <cell r="T279">
            <v>0</v>
          </cell>
        </row>
        <row r="280">
          <cell r="A280" t="str">
            <v>Petai</v>
          </cell>
          <cell r="B280" t="str">
            <v>Tan Akhir Trw lalu</v>
          </cell>
          <cell r="C280" t="str">
            <v>Pohon/rumpun</v>
          </cell>
          <cell r="D280">
            <v>4860</v>
          </cell>
          <cell r="E280">
            <v>14506</v>
          </cell>
          <cell r="F280">
            <v>4958</v>
          </cell>
          <cell r="G280">
            <v>11349</v>
          </cell>
          <cell r="H280">
            <v>2603</v>
          </cell>
          <cell r="I280">
            <v>3505</v>
          </cell>
          <cell r="J280">
            <v>75</v>
          </cell>
          <cell r="K280">
            <v>1500</v>
          </cell>
          <cell r="L280">
            <v>9382</v>
          </cell>
          <cell r="M280">
            <v>1010</v>
          </cell>
          <cell r="N280">
            <v>110</v>
          </cell>
          <cell r="O280">
            <v>58</v>
          </cell>
          <cell r="P280">
            <v>78</v>
          </cell>
          <cell r="Q280">
            <v>77</v>
          </cell>
          <cell r="R280">
            <v>58</v>
          </cell>
          <cell r="S280">
            <v>0</v>
          </cell>
          <cell r="T280">
            <v>0</v>
          </cell>
        </row>
        <row r="281">
          <cell r="B281" t="str">
            <v>Selama Triwulan</v>
          </cell>
          <cell r="C281" t="str">
            <v>Bongkar</v>
          </cell>
          <cell r="F281">
            <v>78</v>
          </cell>
          <cell r="G281">
            <v>14</v>
          </cell>
          <cell r="H281">
            <v>15</v>
          </cell>
          <cell r="I281">
            <v>13</v>
          </cell>
          <cell r="K281">
            <v>50</v>
          </cell>
          <cell r="L281">
            <v>261</v>
          </cell>
          <cell r="M281">
            <v>101</v>
          </cell>
          <cell r="O281">
            <v>12</v>
          </cell>
          <cell r="P281">
            <v>6</v>
          </cell>
          <cell r="Q281">
            <v>2</v>
          </cell>
          <cell r="R281">
            <v>1</v>
          </cell>
        </row>
        <row r="282">
          <cell r="C282" t="str">
            <v>Baru</v>
          </cell>
          <cell r="F282">
            <v>20</v>
          </cell>
          <cell r="G282">
            <v>2</v>
          </cell>
        </row>
        <row r="283">
          <cell r="B283" t="str">
            <v xml:space="preserve">∑ Tanaman Akhir </v>
          </cell>
          <cell r="C283" t="str">
            <v>Pohon/rumpun</v>
          </cell>
          <cell r="D283">
            <v>4860</v>
          </cell>
          <cell r="E283">
            <v>14506</v>
          </cell>
          <cell r="F283">
            <v>4900</v>
          </cell>
          <cell r="G283">
            <v>11337</v>
          </cell>
          <cell r="H283">
            <v>2588</v>
          </cell>
          <cell r="I283">
            <v>3492</v>
          </cell>
          <cell r="J283">
            <v>75</v>
          </cell>
          <cell r="K283">
            <v>1450</v>
          </cell>
          <cell r="L283">
            <v>9121</v>
          </cell>
          <cell r="M283">
            <v>909</v>
          </cell>
          <cell r="N283">
            <v>110</v>
          </cell>
          <cell r="O283">
            <v>46</v>
          </cell>
          <cell r="P283">
            <v>72</v>
          </cell>
          <cell r="Q283">
            <v>75</v>
          </cell>
          <cell r="R283">
            <v>57</v>
          </cell>
          <cell r="S283">
            <v>0</v>
          </cell>
          <cell r="T283">
            <v>0</v>
          </cell>
        </row>
        <row r="284">
          <cell r="B284" t="str">
            <v>Di Akhir Triwulan</v>
          </cell>
          <cell r="C284" t="str">
            <v>TBM</v>
          </cell>
          <cell r="D284">
            <v>1054</v>
          </cell>
          <cell r="E284">
            <v>10838</v>
          </cell>
          <cell r="F284">
            <v>1793</v>
          </cell>
          <cell r="G284">
            <v>1264</v>
          </cell>
          <cell r="H284">
            <v>236</v>
          </cell>
          <cell r="I284">
            <v>1323</v>
          </cell>
          <cell r="K284">
            <v>425</v>
          </cell>
          <cell r="L284">
            <v>7999</v>
          </cell>
          <cell r="M284">
            <v>167</v>
          </cell>
          <cell r="N284">
            <v>90</v>
          </cell>
          <cell r="O284">
            <v>9</v>
          </cell>
          <cell r="P284">
            <v>33</v>
          </cell>
          <cell r="Q284">
            <v>20</v>
          </cell>
          <cell r="R284">
            <v>57</v>
          </cell>
        </row>
        <row r="285">
          <cell r="C285" t="str">
            <v>TPSM</v>
          </cell>
          <cell r="D285">
            <v>3800</v>
          </cell>
          <cell r="E285">
            <v>3668</v>
          </cell>
          <cell r="F285">
            <v>2406</v>
          </cell>
          <cell r="G285">
            <v>4350</v>
          </cell>
          <cell r="H285">
            <v>1823</v>
          </cell>
          <cell r="I285">
            <v>485</v>
          </cell>
          <cell r="J285">
            <v>75</v>
          </cell>
          <cell r="K285">
            <v>1000</v>
          </cell>
          <cell r="L285">
            <v>748</v>
          </cell>
          <cell r="M285">
            <v>742</v>
          </cell>
          <cell r="N285">
            <v>20</v>
          </cell>
          <cell r="O285">
            <v>35</v>
          </cell>
          <cell r="P285">
            <v>36</v>
          </cell>
          <cell r="Q285">
            <v>55</v>
          </cell>
        </row>
        <row r="286">
          <cell r="C286" t="str">
            <v>TPBM</v>
          </cell>
          <cell r="D286">
            <v>0</v>
          </cell>
          <cell r="E286">
            <v>0</v>
          </cell>
          <cell r="F286">
            <v>644</v>
          </cell>
          <cell r="G286">
            <v>5681</v>
          </cell>
          <cell r="H286">
            <v>529</v>
          </cell>
          <cell r="I286">
            <v>1667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C287" t="str">
            <v>TR</v>
          </cell>
          <cell r="D287">
            <v>6</v>
          </cell>
          <cell r="F287">
            <v>57</v>
          </cell>
          <cell r="G287">
            <v>42</v>
          </cell>
          <cell r="I287">
            <v>17</v>
          </cell>
          <cell r="K287">
            <v>25</v>
          </cell>
          <cell r="L287">
            <v>374</v>
          </cell>
          <cell r="O287">
            <v>2</v>
          </cell>
          <cell r="P287">
            <v>3</v>
          </cell>
        </row>
        <row r="288">
          <cell r="B288" t="str">
            <v>Produksi</v>
          </cell>
          <cell r="C288" t="str">
            <v>(kuintal)</v>
          </cell>
          <cell r="D288">
            <v>645</v>
          </cell>
          <cell r="E288">
            <v>1284</v>
          </cell>
          <cell r="F288">
            <v>842.1</v>
          </cell>
          <cell r="G288">
            <v>1522.48</v>
          </cell>
          <cell r="H288">
            <v>8500</v>
          </cell>
          <cell r="I288">
            <v>169.75</v>
          </cell>
          <cell r="J288">
            <v>20</v>
          </cell>
          <cell r="K288">
            <v>150</v>
          </cell>
          <cell r="L288">
            <v>282</v>
          </cell>
          <cell r="M288">
            <v>116.19</v>
          </cell>
          <cell r="N288">
            <v>3</v>
          </cell>
          <cell r="O288">
            <v>10.44</v>
          </cell>
          <cell r="P288">
            <v>13.96</v>
          </cell>
          <cell r="Q288">
            <v>2.2000000000000002</v>
          </cell>
          <cell r="R288">
            <v>0</v>
          </cell>
          <cell r="S288">
            <v>0</v>
          </cell>
          <cell r="T288">
            <v>0</v>
          </cell>
        </row>
        <row r="289">
          <cell r="B289" t="str">
            <v>Provitas</v>
          </cell>
          <cell r="C289" t="str">
            <v>(ku/pohon)</v>
          </cell>
          <cell r="D289">
            <v>0.16973684210526316</v>
          </cell>
          <cell r="E289">
            <v>0.3500545256270447</v>
          </cell>
          <cell r="F289">
            <v>0.35000000000000003</v>
          </cell>
          <cell r="G289">
            <v>0.34999540229885057</v>
          </cell>
          <cell r="H289">
            <v>4.6626439934174435</v>
          </cell>
          <cell r="I289">
            <v>0.35</v>
          </cell>
          <cell r="J289">
            <v>0.26666666666666666</v>
          </cell>
          <cell r="K289">
            <v>0.15</v>
          </cell>
          <cell r="L289">
            <v>0.3770053475935829</v>
          </cell>
          <cell r="M289">
            <v>0.15659029649595688</v>
          </cell>
          <cell r="N289">
            <v>0.15</v>
          </cell>
          <cell r="O289">
            <v>0.29828571428571427</v>
          </cell>
          <cell r="P289">
            <v>0.38777777777777778</v>
          </cell>
          <cell r="Q289">
            <v>0.04</v>
          </cell>
          <cell r="R289" t="e">
            <v>#DIV/0!</v>
          </cell>
          <cell r="S289" t="e">
            <v>#DIV/0!</v>
          </cell>
          <cell r="T289" t="e">
            <v>#DIV/0!</v>
          </cell>
        </row>
        <row r="290">
          <cell r="B290" t="str">
            <v>Harga/kg</v>
          </cell>
          <cell r="C290" t="str">
            <v>Rupiah</v>
          </cell>
          <cell r="D290">
            <v>20000</v>
          </cell>
          <cell r="E290">
            <v>18000</v>
          </cell>
          <cell r="F290">
            <v>40000</v>
          </cell>
          <cell r="G290">
            <v>18000</v>
          </cell>
          <cell r="H290">
            <v>2500</v>
          </cell>
          <cell r="I290">
            <v>22000</v>
          </cell>
          <cell r="J290">
            <v>5000</v>
          </cell>
          <cell r="K290">
            <v>12000</v>
          </cell>
          <cell r="L290">
            <v>15000</v>
          </cell>
          <cell r="M290">
            <v>12000</v>
          </cell>
          <cell r="N290">
            <v>10000</v>
          </cell>
          <cell r="O290">
            <v>12000</v>
          </cell>
          <cell r="P290">
            <v>40000</v>
          </cell>
          <cell r="Q290">
            <v>8000</v>
          </cell>
          <cell r="R290">
            <v>0</v>
          </cell>
          <cell r="S290">
            <v>0</v>
          </cell>
          <cell r="T290">
            <v>0</v>
          </cell>
        </row>
        <row r="291">
          <cell r="A291" t="str">
            <v>Jengkol</v>
          </cell>
          <cell r="B291" t="str">
            <v>Tan Akhir Trw lalu</v>
          </cell>
          <cell r="C291" t="str">
            <v>Pohon/rumpun</v>
          </cell>
          <cell r="D291">
            <v>645</v>
          </cell>
          <cell r="E291">
            <v>375</v>
          </cell>
          <cell r="F291">
            <v>0</v>
          </cell>
          <cell r="G291">
            <v>0</v>
          </cell>
          <cell r="H291">
            <v>0</v>
          </cell>
          <cell r="I291">
            <v>199</v>
          </cell>
          <cell r="J291">
            <v>0</v>
          </cell>
          <cell r="K291">
            <v>0</v>
          </cell>
          <cell r="L291">
            <v>217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B292" t="str">
            <v>Selama Triwulan</v>
          </cell>
          <cell r="C292" t="str">
            <v>Bongkar</v>
          </cell>
          <cell r="E292">
            <v>6</v>
          </cell>
          <cell r="L292">
            <v>5</v>
          </cell>
        </row>
        <row r="293">
          <cell r="C293" t="str">
            <v>Baru</v>
          </cell>
        </row>
        <row r="294">
          <cell r="B294" t="str">
            <v xml:space="preserve">∑ Tanaman Akhir </v>
          </cell>
          <cell r="C294" t="str">
            <v>Pohon/rumpun</v>
          </cell>
          <cell r="D294">
            <v>645</v>
          </cell>
          <cell r="E294">
            <v>369</v>
          </cell>
          <cell r="F294">
            <v>0</v>
          </cell>
          <cell r="G294">
            <v>0</v>
          </cell>
          <cell r="H294">
            <v>0</v>
          </cell>
          <cell r="I294">
            <v>199</v>
          </cell>
          <cell r="J294">
            <v>0</v>
          </cell>
          <cell r="K294">
            <v>0</v>
          </cell>
          <cell r="L294">
            <v>212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B295" t="str">
            <v>Di Akhir Triwulan</v>
          </cell>
          <cell r="C295" t="str">
            <v>TBM</v>
          </cell>
          <cell r="D295">
            <v>175</v>
          </cell>
          <cell r="E295">
            <v>369</v>
          </cell>
          <cell r="I295">
            <v>38</v>
          </cell>
          <cell r="L295">
            <v>167</v>
          </cell>
        </row>
        <row r="296">
          <cell r="C296" t="str">
            <v>TPSM</v>
          </cell>
          <cell r="D296">
            <v>464</v>
          </cell>
          <cell r="I296">
            <v>25</v>
          </cell>
          <cell r="L296">
            <v>19</v>
          </cell>
        </row>
        <row r="297">
          <cell r="C297" t="str">
            <v>TPBM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133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C298" t="str">
            <v>TR</v>
          </cell>
          <cell r="D298">
            <v>6</v>
          </cell>
          <cell r="I298">
            <v>3</v>
          </cell>
          <cell r="L298">
            <v>26</v>
          </cell>
        </row>
        <row r="299">
          <cell r="B299" t="str">
            <v>Produksi</v>
          </cell>
          <cell r="C299" t="str">
            <v>(kuintal)</v>
          </cell>
          <cell r="D299">
            <v>466.5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13.75</v>
          </cell>
          <cell r="J299">
            <v>0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B300" t="str">
            <v>Provitas</v>
          </cell>
          <cell r="C300" t="str">
            <v>(ku/pohon)</v>
          </cell>
          <cell r="D300">
            <v>1.0053879310344827</v>
          </cell>
          <cell r="E300" t="e">
            <v>#DIV/0!</v>
          </cell>
          <cell r="F300" t="e">
            <v>#DIV/0!</v>
          </cell>
          <cell r="G300" t="e">
            <v>#DIV/0!</v>
          </cell>
          <cell r="H300" t="e">
            <v>#DIV/0!</v>
          </cell>
          <cell r="I300">
            <v>0.55000000000000004</v>
          </cell>
          <cell r="J300" t="e">
            <v>#DIV/0!</v>
          </cell>
          <cell r="K300" t="e">
            <v>#DIV/0!</v>
          </cell>
          <cell r="L300">
            <v>0.31578947368421051</v>
          </cell>
          <cell r="M300" t="e">
            <v>#DIV/0!</v>
          </cell>
          <cell r="N300" t="e">
            <v>#DIV/0!</v>
          </cell>
          <cell r="O300" t="e">
            <v>#DIV/0!</v>
          </cell>
          <cell r="P300" t="e">
            <v>#DIV/0!</v>
          </cell>
          <cell r="Q300" t="e">
            <v>#DIV/0!</v>
          </cell>
          <cell r="R300" t="e">
            <v>#DIV/0!</v>
          </cell>
          <cell r="S300" t="e">
            <v>#DIV/0!</v>
          </cell>
          <cell r="T300" t="e">
            <v>#DIV/0!</v>
          </cell>
        </row>
        <row r="301">
          <cell r="B301" t="str">
            <v>Harga/kg</v>
          </cell>
          <cell r="C301" t="str">
            <v>Rupiah</v>
          </cell>
          <cell r="D301">
            <v>20000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24000</v>
          </cell>
          <cell r="J301">
            <v>0</v>
          </cell>
          <cell r="K301">
            <v>0</v>
          </cell>
          <cell r="L301">
            <v>25000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.Prod.14 Komoditas"/>
      <sheetName val="R.Prod.Padi"/>
      <sheetName val="R.Prod.Jagung"/>
      <sheetName val="BYK R.Prod."/>
      <sheetName val="R.Prod.Kacang Tanah"/>
      <sheetName val="R.Prod.kacang Hijau"/>
      <sheetName val="R.Prod.Ketela Pohon"/>
      <sheetName val="R.Prod.Ubi Jalar"/>
      <sheetName val="R.Prod.Gula"/>
      <sheetName val="R.Prod.Cabai Merah"/>
      <sheetName val="R.Prod. Bawang Merah"/>
      <sheetName val="R.Prod.Daging"/>
      <sheetName val="R.Prod.Telur"/>
      <sheetName val="R.Prod. SUSU"/>
      <sheetName val="R.Prod. Ikan"/>
      <sheetName val="kebun kelapa"/>
      <sheetName val="kebun kelapa deres"/>
      <sheetName val="kebun robusta"/>
      <sheetName val="arabika kebun"/>
      <sheetName val="cengkeh kebun"/>
      <sheetName val="cokelat kebun"/>
      <sheetName val="lada kebun"/>
      <sheetName val="aren kebun"/>
      <sheetName val="karet kebun"/>
      <sheetName val="asam jawa kebun"/>
      <sheetName val="tebu kebun"/>
      <sheetName val="nilam kebun"/>
      <sheetName val="rekap hasil produksi"/>
      <sheetName val="produksi padi sawah"/>
      <sheetName val="Padi Ladang Produksi"/>
      <sheetName val="Produksi Jagung"/>
      <sheetName val="ketela pohon produksi"/>
      <sheetName val="ubi jalar produksi"/>
      <sheetName val="Kacang Hijau Produksi"/>
      <sheetName val="Kedelai Produksi"/>
      <sheetName val="Kacang Tanah Produksi"/>
      <sheetName val="bawang merah produksi"/>
      <sheetName val="Bawang Putih Produksi"/>
      <sheetName val="Bawang Daun Produksi"/>
      <sheetName val="Kentang Produksi"/>
      <sheetName val="Kubis Produksi"/>
      <sheetName val="PETSAI PRODUKSI"/>
      <sheetName val="Wortel Produksi"/>
      <sheetName val="Kac Panjang Prod"/>
      <sheetName val="cabai besar"/>
      <sheetName val="cabe Rawit"/>
      <sheetName val="tomat"/>
      <sheetName val="terong"/>
      <sheetName val="buncis"/>
      <sheetName val="ketimun"/>
      <sheetName val="labu siam"/>
      <sheetName val="kangkung"/>
      <sheetName val="petai"/>
      <sheetName val="melinjo"/>
      <sheetName val="alpukat"/>
      <sheetName val="mangga"/>
      <sheetName val="rambutan"/>
      <sheetName val="durian"/>
      <sheetName val="pisang"/>
      <sheetName val="manggis"/>
      <sheetName val="nangka"/>
      <sheetName val="sawo"/>
      <sheetName val="sirsak"/>
      <sheetName val="sukun"/>
    </sheetNames>
    <sheetDataSet>
      <sheetData sheetId="0">
        <row r="8">
          <cell r="B8">
            <v>575513.73208487406</v>
          </cell>
          <cell r="C8">
            <v>339553.10193007567</v>
          </cell>
          <cell r="D8">
            <v>240042.0642413779</v>
          </cell>
        </row>
        <row r="9">
          <cell r="B9">
            <v>195056.83000000002</v>
          </cell>
          <cell r="C9">
            <v>173600.57870000001</v>
          </cell>
          <cell r="D9">
            <v>79.569999999999979</v>
          </cell>
        </row>
        <row r="10">
          <cell r="B10">
            <v>1423.1</v>
          </cell>
          <cell r="C10">
            <v>1380.4069999999999</v>
          </cell>
          <cell r="D10">
            <v>17270.395000415996</v>
          </cell>
        </row>
        <row r="11">
          <cell r="B11">
            <v>159.80000000000001</v>
          </cell>
          <cell r="C11">
            <v>151.26667999999998</v>
          </cell>
          <cell r="D11">
            <v>536.4111267840002</v>
          </cell>
        </row>
        <row r="12">
          <cell r="B12">
            <v>4451.07</v>
          </cell>
          <cell r="C12">
            <v>4228.5164999999997</v>
          </cell>
          <cell r="D12">
            <v>167.43010022399997</v>
          </cell>
        </row>
        <row r="13">
          <cell r="B13">
            <v>7326.7</v>
          </cell>
          <cell r="C13">
            <v>6935.4542199999996</v>
          </cell>
          <cell r="D13">
            <v>9670.8700000000008</v>
          </cell>
        </row>
        <row r="14">
          <cell r="B14">
            <v>377.9</v>
          </cell>
          <cell r="C14">
            <v>357.72014000000001</v>
          </cell>
          <cell r="D14">
            <v>6124.8866639999987</v>
          </cell>
        </row>
        <row r="15">
          <cell r="B15">
            <v>5694.7960000000003</v>
          </cell>
          <cell r="C15">
            <v>5694.7960000000003</v>
          </cell>
          <cell r="D15">
            <v>21904.115600000001</v>
          </cell>
        </row>
        <row r="16">
          <cell r="B16">
            <v>7327.2</v>
          </cell>
          <cell r="C16">
            <v>7107.3839999999991</v>
          </cell>
          <cell r="D16">
            <v>5715.9999999999991</v>
          </cell>
        </row>
        <row r="17">
          <cell r="B17">
            <v>409106.9</v>
          </cell>
          <cell r="C17">
            <v>396833.69300000009</v>
          </cell>
          <cell r="D17">
            <v>7211.9700000000012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</row>
        <row r="21">
          <cell r="B21">
            <v>0</v>
          </cell>
          <cell r="D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opLeftCell="A7" workbookViewId="0">
      <selection activeCell="F19" sqref="F19"/>
    </sheetView>
  </sheetViews>
  <sheetFormatPr defaultColWidth="14.42578125" defaultRowHeight="15" customHeight="1"/>
  <cols>
    <col min="1" max="1" width="26.85546875" customWidth="1"/>
    <col min="2" max="2" width="19.28515625" customWidth="1"/>
    <col min="3" max="3" width="18.85546875" customWidth="1"/>
    <col min="4" max="4" width="15.85546875" customWidth="1"/>
    <col min="5" max="5" width="17.85546875" customWidth="1"/>
    <col min="6" max="6" width="13.7109375" customWidth="1"/>
    <col min="7" max="26" width="8.7109375" customWidth="1"/>
  </cols>
  <sheetData>
    <row r="1" spans="1:9" ht="14.25" customHeight="1">
      <c r="A1" s="412" t="s">
        <v>0</v>
      </c>
      <c r="B1" s="411"/>
      <c r="C1" s="411"/>
      <c r="D1" s="411"/>
      <c r="E1" s="411"/>
      <c r="F1" s="1"/>
    </row>
    <row r="2" spans="1:9" ht="14.25" customHeight="1">
      <c r="A2" s="412" t="s">
        <v>1</v>
      </c>
      <c r="B2" s="411"/>
      <c r="C2" s="411"/>
      <c r="D2" s="411"/>
      <c r="E2" s="411"/>
      <c r="F2" s="1"/>
    </row>
    <row r="3" spans="1:9" ht="14.25" customHeight="1">
      <c r="A3" s="412" t="s">
        <v>2</v>
      </c>
      <c r="B3" s="411"/>
      <c r="C3" s="411"/>
      <c r="D3" s="411"/>
      <c r="E3" s="411"/>
      <c r="F3" s="1"/>
    </row>
    <row r="4" spans="1:9" ht="14.25" customHeight="1">
      <c r="A4" s="2"/>
      <c r="B4" s="2"/>
      <c r="C4" s="2"/>
      <c r="D4" s="2"/>
      <c r="E4" s="2"/>
      <c r="F4" s="2"/>
    </row>
    <row r="5" spans="1:9" ht="62.25" customHeight="1">
      <c r="A5" s="413" t="s">
        <v>3</v>
      </c>
      <c r="B5" s="408" t="s">
        <v>4</v>
      </c>
      <c r="C5" s="408" t="s">
        <v>5</v>
      </c>
      <c r="D5" s="408" t="s">
        <v>6</v>
      </c>
      <c r="E5" s="408" t="s">
        <v>7</v>
      </c>
    </row>
    <row r="6" spans="1:9" ht="15.75" customHeight="1">
      <c r="A6" s="409"/>
      <c r="B6" s="409"/>
      <c r="C6" s="409"/>
      <c r="D6" s="409"/>
      <c r="E6" s="409"/>
    </row>
    <row r="7" spans="1:9" ht="14.25" customHeight="1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I7" s="4"/>
    </row>
    <row r="8" spans="1:9" ht="14.25" customHeight="1">
      <c r="A8" s="5" t="s">
        <v>13</v>
      </c>
      <c r="B8" s="204">
        <f>'R.Prod.Padi'!C21</f>
        <v>728014.84893000021</v>
      </c>
      <c r="C8" s="6">
        <f>'R.Prod.Padi'!D21</f>
        <v>529688.95823081187</v>
      </c>
      <c r="D8" s="7">
        <f>'R.Prod.Padi'!E21</f>
        <v>232451.29288809016</v>
      </c>
      <c r="E8" s="340">
        <f>(C8/D8)*100%</f>
        <v>2.2787094519875262</v>
      </c>
      <c r="I8" s="4"/>
    </row>
    <row r="9" spans="1:9" ht="14.25" customHeight="1">
      <c r="A9" s="8" t="s">
        <v>14</v>
      </c>
      <c r="B9" s="9">
        <f>'R.Prod.Jagung'!C21</f>
        <v>189446.77</v>
      </c>
      <c r="C9" s="10">
        <f>'R.Prod.Jagung'!D21</f>
        <v>168607.62530000001</v>
      </c>
      <c r="D9" s="7">
        <f>'R.Prod.Jagung'!E21</f>
        <v>30152.256893687056</v>
      </c>
      <c r="E9" s="340">
        <f t="shared" ref="E9:E21" si="0">(C9/D9)*100%</f>
        <v>5.5918741305000355</v>
      </c>
      <c r="I9" s="4"/>
    </row>
    <row r="10" spans="1:9" ht="14.25" customHeight="1">
      <c r="A10" s="8" t="s">
        <v>15</v>
      </c>
      <c r="B10" s="9">
        <f>'BYK R.Prod.'!C20</f>
        <v>504.35999999999996</v>
      </c>
      <c r="C10" s="10">
        <f>'BYK R.Prod.'!D20</f>
        <v>297.57239999999996</v>
      </c>
      <c r="D10" s="7">
        <f>'BYK R.Prod.'!E20</f>
        <v>15636.771908974892</v>
      </c>
      <c r="E10" s="340">
        <f t="shared" si="0"/>
        <v>1.9030296133513664E-2</v>
      </c>
    </row>
    <row r="11" spans="1:9" ht="14.25" customHeight="1">
      <c r="A11" s="8" t="s">
        <v>16</v>
      </c>
      <c r="B11" s="9">
        <f>'R.Prod.Kacang Tanah'!C21</f>
        <v>455.79999999999995</v>
      </c>
      <c r="C11" s="10">
        <f>'R.Prod.Kacang Tanah'!D21</f>
        <v>431.46028000000007</v>
      </c>
      <c r="D11" s="7">
        <f>'R.Prod.Kacang Tanah'!E21</f>
        <v>217.08242400000003</v>
      </c>
      <c r="E11" s="340">
        <f>(C11/D11)*100%</f>
        <v>1.9875412852401169</v>
      </c>
    </row>
    <row r="12" spans="1:9" ht="14.25" customHeight="1">
      <c r="A12" s="8" t="s">
        <v>17</v>
      </c>
      <c r="B12" s="9">
        <f>'R.Prod.kacang Hijau'!C22</f>
        <v>4113.0899999999992</v>
      </c>
      <c r="C12" s="10">
        <f>'R.Prod.kacang Hijau'!D22</f>
        <v>3907.4354999999996</v>
      </c>
      <c r="D12" s="7">
        <f>'R.Prod.kacang Hijau'!E22</f>
        <v>325.62363600000003</v>
      </c>
      <c r="E12" s="340">
        <f t="shared" si="0"/>
        <v>11.999852185177366</v>
      </c>
    </row>
    <row r="13" spans="1:9" ht="14.25" customHeight="1">
      <c r="A13" s="8" t="s">
        <v>18</v>
      </c>
      <c r="B13" s="9">
        <f>'R.Prod.Ketela Pohon'!C21</f>
        <v>2706.5840277777779</v>
      </c>
      <c r="C13" s="10">
        <f>'R.Prod.Ketela Pohon'!D21</f>
        <v>2562.0524406944446</v>
      </c>
      <c r="D13" s="7">
        <f>'R.Prod.Ketela Pohon'!E21</f>
        <v>8466.2145359999977</v>
      </c>
      <c r="E13" s="340">
        <f t="shared" si="0"/>
        <v>0.30262077931052861</v>
      </c>
    </row>
    <row r="14" spans="1:9" ht="14.25" customHeight="1">
      <c r="A14" s="8" t="s">
        <v>19</v>
      </c>
      <c r="B14" s="9">
        <f>'R.Prod.Ubi Jalar'!C21</f>
        <v>0</v>
      </c>
      <c r="C14" s="10">
        <f>'R.Prod.Ubi Jalar'!D21</f>
        <v>0</v>
      </c>
      <c r="D14" s="10">
        <f>'R.Prod.Ubi Jalar'!E21</f>
        <v>3798.9424200000008</v>
      </c>
      <c r="E14" s="10">
        <f>'R.Prod.Ubi Jalar'!F21</f>
        <v>-3798.9424200000008</v>
      </c>
    </row>
    <row r="15" spans="1:9" ht="14.25" customHeight="1">
      <c r="A15" s="8" t="s">
        <v>20</v>
      </c>
      <c r="B15" s="11">
        <f>'R.Prod.Gula'!C21</f>
        <v>54339.266398361928</v>
      </c>
      <c r="C15" s="10">
        <f>'R.Prod.Gula'!D21</f>
        <v>54339.266398361928</v>
      </c>
      <c r="D15" s="10">
        <f>'R.Prod.Gula'!E21</f>
        <v>15776.047698</v>
      </c>
      <c r="E15" s="10">
        <f>'R.Prod.Ubi Jalar'!F22</f>
        <v>-5767.1665240000002</v>
      </c>
    </row>
    <row r="16" spans="1:9" ht="14.25" customHeight="1">
      <c r="A16" s="8" t="s">
        <v>21</v>
      </c>
      <c r="B16" s="252">
        <f>'R.Prod.Cabai Merah'!C21</f>
        <v>15079.22</v>
      </c>
      <c r="C16" s="10">
        <f>'R.Prod.Cabai Merah'!D21</f>
        <v>14626.843399999998</v>
      </c>
      <c r="D16" s="7">
        <f>'R.Prod.Cabai Merah'!E21</f>
        <v>3553.6810275000003</v>
      </c>
      <c r="E16" s="340">
        <f t="shared" si="0"/>
        <v>4.1159696908109735</v>
      </c>
    </row>
    <row r="17" spans="1:5" ht="14.25" customHeight="1">
      <c r="A17" s="8" t="s">
        <v>22</v>
      </c>
      <c r="B17" s="252">
        <f>'R.Prod. Bawang Merah'!C21</f>
        <v>423148.27200000006</v>
      </c>
      <c r="C17" s="10">
        <f>'R.Prod. Bawang Merah'!D21</f>
        <v>387700.43296000001</v>
      </c>
      <c r="D17" s="7">
        <f>'R.Prod. Bawang Merah'!E21</f>
        <v>54844.679342305491</v>
      </c>
      <c r="E17" s="340">
        <f t="shared" si="0"/>
        <v>7.0690618964188179</v>
      </c>
    </row>
    <row r="18" spans="1:5" ht="14.25" customHeight="1">
      <c r="A18" s="8" t="s">
        <v>23</v>
      </c>
      <c r="B18" s="11">
        <v>0</v>
      </c>
      <c r="C18" s="10">
        <v>0</v>
      </c>
      <c r="D18" s="10">
        <v>0</v>
      </c>
      <c r="E18" s="10">
        <v>0</v>
      </c>
    </row>
    <row r="19" spans="1:5" ht="14.25" customHeight="1">
      <c r="A19" s="8" t="s">
        <v>24</v>
      </c>
      <c r="B19" s="11">
        <v>0</v>
      </c>
      <c r="C19" s="10">
        <v>0</v>
      </c>
      <c r="D19" s="10">
        <v>0</v>
      </c>
      <c r="E19" s="10">
        <v>0</v>
      </c>
    </row>
    <row r="20" spans="1:5" ht="14.25" customHeight="1">
      <c r="A20" s="8" t="s">
        <v>25</v>
      </c>
      <c r="B20" s="11">
        <v>0</v>
      </c>
      <c r="C20" s="10">
        <v>0</v>
      </c>
      <c r="D20" s="10">
        <v>0</v>
      </c>
      <c r="E20" s="10">
        <v>0</v>
      </c>
    </row>
    <row r="21" spans="1:5" ht="14.25" customHeight="1">
      <c r="A21" s="8" t="s">
        <v>26</v>
      </c>
      <c r="B21" s="11">
        <v>0</v>
      </c>
      <c r="C21" s="10">
        <v>0</v>
      </c>
      <c r="D21" s="10">
        <v>0</v>
      </c>
      <c r="E21" s="10">
        <v>0</v>
      </c>
    </row>
    <row r="22" spans="1:5" ht="14.25" customHeight="1">
      <c r="A22" s="12">
        <v>2025</v>
      </c>
      <c r="B22" s="251">
        <f>SUM(B8:B21)</f>
        <v>1417808.21135614</v>
      </c>
      <c r="C22" s="251">
        <f t="shared" ref="C22:E22" si="1">SUM(C8:C21)</f>
        <v>1162161.6469098681</v>
      </c>
      <c r="D22" s="251">
        <f t="shared" si="1"/>
        <v>365222.59277455753</v>
      </c>
      <c r="E22" s="251">
        <f t="shared" si="1"/>
        <v>-9532.744284284423</v>
      </c>
    </row>
    <row r="23" spans="1:5" ht="14.25" customHeight="1">
      <c r="A23" s="12">
        <f t="shared" ref="A23:A26" si="2">A22-1</f>
        <v>2024</v>
      </c>
      <c r="B23" s="196">
        <f>SUM('[2]R.Prod.14 Komoditas'!$B$8:$B$21)</f>
        <v>1206438.0280848742</v>
      </c>
      <c r="C23" s="196">
        <f>SUM('[2]R.Prod.14 Komoditas'!$C$8:$C$20)</f>
        <v>935842.91817007575</v>
      </c>
      <c r="D23" s="196">
        <f>SUM('[2]R.Prod.14 Komoditas'!$D$8:$D$21)</f>
        <v>308723.71273280191</v>
      </c>
      <c r="E23" s="197">
        <f>(C23/D23)*100</f>
        <v>303.13282704657058</v>
      </c>
    </row>
    <row r="24" spans="1:5" ht="14.25" customHeight="1">
      <c r="A24" s="12">
        <f t="shared" si="2"/>
        <v>2023</v>
      </c>
      <c r="B24" s="198">
        <v>1088627.0477196309</v>
      </c>
      <c r="C24" s="198">
        <v>823159.69814757118</v>
      </c>
      <c r="D24" s="198">
        <v>232217.96235759996</v>
      </c>
      <c r="E24" s="198">
        <v>354.47718591207035</v>
      </c>
    </row>
    <row r="25" spans="1:5" ht="14.25" customHeight="1">
      <c r="A25" s="12">
        <f t="shared" si="2"/>
        <v>2022</v>
      </c>
      <c r="B25" s="196">
        <v>1316100.1924199997</v>
      </c>
      <c r="C25" s="196">
        <v>996678.77284432505</v>
      </c>
      <c r="D25" s="196">
        <v>283319.16914999997</v>
      </c>
      <c r="E25" s="196">
        <v>351.78656489587729</v>
      </c>
    </row>
    <row r="26" spans="1:5" ht="14.25" customHeight="1">
      <c r="A26" s="12">
        <f t="shared" si="2"/>
        <v>2021</v>
      </c>
      <c r="B26" s="199">
        <v>1213251.2053237939</v>
      </c>
      <c r="C26" s="199">
        <v>930924.86360757123</v>
      </c>
      <c r="D26" s="199">
        <v>301429.91971933225</v>
      </c>
      <c r="E26" s="199">
        <v>308.83625105111497</v>
      </c>
    </row>
    <row r="27" spans="1:5" ht="14.25" customHeight="1">
      <c r="A27" s="12"/>
      <c r="B27" s="13"/>
      <c r="C27" s="13"/>
      <c r="D27" s="13"/>
      <c r="E27" s="13"/>
    </row>
    <row r="28" spans="1:5" ht="14.25" customHeight="1">
      <c r="A28" s="14"/>
    </row>
    <row r="29" spans="1:5" ht="14.25" customHeight="1">
      <c r="A29" s="410" t="s">
        <v>27</v>
      </c>
      <c r="B29" s="411"/>
      <c r="C29" s="411"/>
      <c r="D29" s="411"/>
    </row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D5:D6"/>
    <mergeCell ref="A29:D29"/>
    <mergeCell ref="A1:E1"/>
    <mergeCell ref="A2:E2"/>
    <mergeCell ref="A3:E3"/>
    <mergeCell ref="A5:A6"/>
    <mergeCell ref="B5:B6"/>
    <mergeCell ref="C5:C6"/>
    <mergeCell ref="E5:E6"/>
  </mergeCells>
  <pageMargins left="0.7" right="0.7" top="0.75" bottom="0.75" header="0" footer="0"/>
  <pageSetup paperSize="9" scale="86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00"/>
  <sheetViews>
    <sheetView topLeftCell="A2" workbookViewId="0">
      <selection activeCell="C21" sqref="C21"/>
    </sheetView>
  </sheetViews>
  <sheetFormatPr defaultColWidth="14.42578125" defaultRowHeight="15" customHeight="1"/>
  <cols>
    <col min="1" max="1" width="20.140625" customWidth="1"/>
    <col min="2" max="2" width="13.42578125" customWidth="1"/>
    <col min="3" max="3" width="16.5703125" customWidth="1"/>
    <col min="4" max="4" width="14.85546875" customWidth="1"/>
    <col min="5" max="5" width="15.140625" customWidth="1"/>
    <col min="6" max="6" width="19.5703125" customWidth="1"/>
    <col min="7" max="7" width="14" customWidth="1"/>
    <col min="8" max="11" width="8.7109375" customWidth="1"/>
    <col min="12" max="12" width="10.85546875" customWidth="1"/>
    <col min="13" max="26" width="8.7109375" customWidth="1"/>
  </cols>
  <sheetData>
    <row r="1" spans="1:12" ht="14.25" customHeight="1">
      <c r="A1" s="412" t="s">
        <v>0</v>
      </c>
      <c r="B1" s="411"/>
      <c r="C1" s="411"/>
      <c r="D1" s="411"/>
      <c r="E1" s="411"/>
      <c r="F1" s="411"/>
      <c r="G1" s="411"/>
      <c r="H1" s="411"/>
    </row>
    <row r="2" spans="1:12" ht="14.25" customHeight="1">
      <c r="A2" s="412" t="s">
        <v>28</v>
      </c>
      <c r="B2" s="411"/>
      <c r="C2" s="411"/>
      <c r="D2" s="411"/>
      <c r="E2" s="411"/>
      <c r="F2" s="411"/>
      <c r="G2" s="411"/>
      <c r="H2" s="411"/>
    </row>
    <row r="3" spans="1:12" ht="14.25" customHeight="1">
      <c r="A3" s="412" t="s">
        <v>59</v>
      </c>
      <c r="B3" s="411"/>
      <c r="C3" s="411"/>
      <c r="D3" s="411"/>
      <c r="E3" s="411"/>
      <c r="F3" s="411"/>
      <c r="G3" s="411"/>
      <c r="H3" s="411"/>
    </row>
    <row r="4" spans="1:12" ht="14.25" customHeight="1">
      <c r="A4" s="412" t="s">
        <v>30</v>
      </c>
      <c r="B4" s="411"/>
      <c r="C4" s="411"/>
      <c r="D4" s="411"/>
      <c r="E4" s="411"/>
      <c r="F4" s="411"/>
      <c r="G4" s="411"/>
      <c r="H4" s="411"/>
    </row>
    <row r="5" spans="1:12" ht="14.25" customHeight="1">
      <c r="A5" s="16"/>
      <c r="B5" s="16"/>
      <c r="C5" s="16"/>
      <c r="D5" s="16"/>
      <c r="E5" s="16"/>
      <c r="F5" s="16"/>
      <c r="G5" s="16"/>
      <c r="H5" s="17"/>
    </row>
    <row r="6" spans="1:12" ht="14.25" customHeight="1">
      <c r="A6" s="415" t="s">
        <v>31</v>
      </c>
      <c r="B6" s="415" t="s">
        <v>32</v>
      </c>
      <c r="C6" s="415" t="s">
        <v>4</v>
      </c>
      <c r="D6" s="415" t="s">
        <v>5</v>
      </c>
      <c r="E6" s="415" t="s">
        <v>6</v>
      </c>
      <c r="F6" s="415" t="s">
        <v>33</v>
      </c>
      <c r="G6" s="415" t="s">
        <v>34</v>
      </c>
      <c r="H6" s="18"/>
    </row>
    <row r="7" spans="1:12" ht="14.25" customHeight="1">
      <c r="A7" s="409"/>
      <c r="B7" s="409"/>
      <c r="C7" s="409"/>
      <c r="D7" s="409"/>
      <c r="E7" s="409"/>
      <c r="F7" s="409"/>
      <c r="G7" s="409"/>
      <c r="H7" s="18"/>
    </row>
    <row r="8" spans="1:12" ht="14.25" customHeight="1">
      <c r="A8" s="19" t="s">
        <v>8</v>
      </c>
      <c r="B8" s="191" t="s">
        <v>9</v>
      </c>
      <c r="C8" s="191" t="s">
        <v>10</v>
      </c>
      <c r="D8" s="19" t="s">
        <v>11</v>
      </c>
      <c r="E8" s="19" t="s">
        <v>12</v>
      </c>
      <c r="F8" s="19" t="s">
        <v>35</v>
      </c>
      <c r="G8" s="19" t="s">
        <v>36</v>
      </c>
      <c r="H8" s="18"/>
    </row>
    <row r="9" spans="1:12" ht="14.25" customHeight="1">
      <c r="A9" s="190" t="s">
        <v>37</v>
      </c>
      <c r="B9" s="194">
        <v>32</v>
      </c>
      <c r="C9" s="263">
        <v>189.1</v>
      </c>
      <c r="D9" s="264">
        <f>0.97*C9</f>
        <v>183.42699999999999</v>
      </c>
      <c r="E9" s="265">
        <v>299.61138962849145</v>
      </c>
      <c r="F9" s="266">
        <f t="shared" ref="F9:F20" si="0">D9-E9</f>
        <v>-116.18438962849146</v>
      </c>
      <c r="G9" s="267">
        <f>F9</f>
        <v>-116.18438962849146</v>
      </c>
      <c r="H9" s="18"/>
    </row>
    <row r="10" spans="1:12" ht="14.25" customHeight="1">
      <c r="A10" s="190" t="s">
        <v>38</v>
      </c>
      <c r="B10" s="194">
        <v>12</v>
      </c>
      <c r="C10" s="263">
        <v>27.6</v>
      </c>
      <c r="D10" s="264">
        <f>0.97*C10</f>
        <v>26.772000000000002</v>
      </c>
      <c r="E10" s="265">
        <v>276.99556215330858</v>
      </c>
      <c r="F10" s="266">
        <f t="shared" si="0"/>
        <v>-250.22356215330859</v>
      </c>
      <c r="G10" s="267">
        <f t="shared" ref="G10:G20" si="1">G9+F10</f>
        <v>-366.40795178180008</v>
      </c>
      <c r="H10" s="18"/>
    </row>
    <row r="11" spans="1:12" ht="14.25" customHeight="1">
      <c r="A11" s="190" t="s">
        <v>39</v>
      </c>
      <c r="B11" s="194">
        <v>877</v>
      </c>
      <c r="C11" s="263">
        <v>1384.8</v>
      </c>
      <c r="D11" s="264">
        <f t="shared" ref="D11:D20" si="2">0.97*C11</f>
        <v>1343.2559999999999</v>
      </c>
      <c r="E11" s="265">
        <v>311.78914288435914</v>
      </c>
      <c r="F11" s="266">
        <f t="shared" si="0"/>
        <v>1031.4668571156408</v>
      </c>
      <c r="G11" s="267">
        <f t="shared" si="1"/>
        <v>665.0589053338407</v>
      </c>
      <c r="H11" s="18"/>
    </row>
    <row r="12" spans="1:12" ht="14.25" customHeight="1">
      <c r="A12" s="190" t="s">
        <v>40</v>
      </c>
      <c r="B12" s="194">
        <v>1153</v>
      </c>
      <c r="C12" s="263">
        <v>4059.9</v>
      </c>
      <c r="D12" s="264">
        <f t="shared" si="2"/>
        <v>3938.1030000000001</v>
      </c>
      <c r="E12" s="265">
        <v>289.94650609208855</v>
      </c>
      <c r="F12" s="266">
        <f t="shared" si="0"/>
        <v>3648.1564939079117</v>
      </c>
      <c r="G12" s="267">
        <f t="shared" si="1"/>
        <v>4313.2153992417525</v>
      </c>
      <c r="H12" s="18"/>
    </row>
    <row r="13" spans="1:12" ht="14.25" customHeight="1">
      <c r="A13" s="190" t="s">
        <v>41</v>
      </c>
      <c r="B13" s="194">
        <v>931</v>
      </c>
      <c r="C13" s="263">
        <v>3287.2</v>
      </c>
      <c r="D13" s="264">
        <f t="shared" si="2"/>
        <v>3188.5839999999998</v>
      </c>
      <c r="E13" s="265">
        <v>299.61138962849145</v>
      </c>
      <c r="F13" s="266">
        <f t="shared" si="0"/>
        <v>2888.9726103715084</v>
      </c>
      <c r="G13" s="267">
        <f t="shared" si="1"/>
        <v>7202.1880096132609</v>
      </c>
      <c r="H13" s="18"/>
    </row>
    <row r="14" spans="1:12" ht="14.25" customHeight="1">
      <c r="A14" s="190" t="s">
        <v>42</v>
      </c>
      <c r="B14" s="194">
        <v>576</v>
      </c>
      <c r="C14" s="263">
        <v>1969.9</v>
      </c>
      <c r="D14" s="264">
        <f t="shared" si="2"/>
        <v>1910.8030000000001</v>
      </c>
      <c r="E14" s="265">
        <v>296.03538272002237</v>
      </c>
      <c r="F14" s="266">
        <f t="shared" si="0"/>
        <v>1614.7676172799777</v>
      </c>
      <c r="G14" s="267">
        <f t="shared" si="1"/>
        <v>8816.9556268932392</v>
      </c>
      <c r="H14" s="18"/>
      <c r="L14" s="23"/>
    </row>
    <row r="15" spans="1:12" ht="14.25" customHeight="1">
      <c r="A15" s="190" t="s">
        <v>43</v>
      </c>
      <c r="B15" s="194">
        <v>514</v>
      </c>
      <c r="C15" s="263">
        <v>2670.6</v>
      </c>
      <c r="D15" s="264">
        <f t="shared" si="2"/>
        <v>2590.482</v>
      </c>
      <c r="E15" s="265">
        <v>299.61138962849145</v>
      </c>
      <c r="F15" s="266">
        <f t="shared" si="0"/>
        <v>2290.8706103715085</v>
      </c>
      <c r="G15" s="267">
        <f t="shared" si="1"/>
        <v>11107.826237264748</v>
      </c>
      <c r="H15" s="18"/>
      <c r="L15" s="23"/>
    </row>
    <row r="16" spans="1:12" ht="14.25" customHeight="1">
      <c r="A16" s="190" t="s">
        <v>44</v>
      </c>
      <c r="B16" s="194">
        <v>233</v>
      </c>
      <c r="C16" s="263">
        <v>761.7</v>
      </c>
      <c r="D16" s="264">
        <f t="shared" si="2"/>
        <v>738.84900000000005</v>
      </c>
      <c r="E16" s="265">
        <v>299.61138962849145</v>
      </c>
      <c r="F16" s="266">
        <f t="shared" si="0"/>
        <v>439.23761037150859</v>
      </c>
      <c r="G16" s="267">
        <f t="shared" si="1"/>
        <v>11547.063847636256</v>
      </c>
      <c r="H16" s="18"/>
      <c r="L16" s="23"/>
    </row>
    <row r="17" spans="1:12" ht="14.25" customHeight="1">
      <c r="A17" s="190" t="s">
        <v>45</v>
      </c>
      <c r="B17" s="194">
        <v>118</v>
      </c>
      <c r="C17" s="263">
        <v>381.9</v>
      </c>
      <c r="D17" s="264">
        <f t="shared" si="2"/>
        <v>370.44299999999998</v>
      </c>
      <c r="E17" s="265">
        <v>289.94650609208855</v>
      </c>
      <c r="F17" s="266">
        <f t="shared" si="0"/>
        <v>80.496493907911429</v>
      </c>
      <c r="G17" s="267">
        <f t="shared" si="1"/>
        <v>11627.560341544167</v>
      </c>
      <c r="H17" s="18"/>
      <c r="L17" s="23"/>
    </row>
    <row r="18" spans="1:12" ht="14.25" customHeight="1">
      <c r="A18" s="190" t="s">
        <v>46</v>
      </c>
      <c r="B18" s="194">
        <v>61</v>
      </c>
      <c r="C18" s="263">
        <v>155.4</v>
      </c>
      <c r="D18" s="264">
        <f t="shared" si="2"/>
        <v>150.738</v>
      </c>
      <c r="E18" s="265">
        <v>299.61138962849145</v>
      </c>
      <c r="F18" s="266">
        <f t="shared" si="0"/>
        <v>-148.87338962849145</v>
      </c>
      <c r="G18" s="267">
        <f t="shared" si="1"/>
        <v>11478.686951915675</v>
      </c>
      <c r="H18" s="18"/>
      <c r="L18" s="23"/>
    </row>
    <row r="19" spans="1:12" ht="14.25" customHeight="1">
      <c r="A19" s="190" t="s">
        <v>47</v>
      </c>
      <c r="B19" s="194">
        <v>43</v>
      </c>
      <c r="C19" s="263">
        <v>67.099999999999994</v>
      </c>
      <c r="D19" s="264">
        <f t="shared" si="2"/>
        <v>65.086999999999989</v>
      </c>
      <c r="E19" s="265">
        <v>289.94650609208855</v>
      </c>
      <c r="F19" s="266">
        <f t="shared" si="0"/>
        <v>-224.85950609208857</v>
      </c>
      <c r="G19" s="267">
        <f t="shared" si="1"/>
        <v>11253.827445823586</v>
      </c>
      <c r="H19" s="18"/>
    </row>
    <row r="20" spans="1:12" ht="14.25" customHeight="1">
      <c r="A20" s="190" t="s">
        <v>48</v>
      </c>
      <c r="B20" s="194">
        <v>63</v>
      </c>
      <c r="C20" s="263">
        <v>124.02000000000001</v>
      </c>
      <c r="D20" s="264">
        <f t="shared" si="2"/>
        <v>120.29940000000001</v>
      </c>
      <c r="E20" s="265">
        <v>300.96447332358787</v>
      </c>
      <c r="F20" s="266">
        <f t="shared" si="0"/>
        <v>-180.66507332358788</v>
      </c>
      <c r="G20" s="267">
        <f t="shared" si="1"/>
        <v>11073.162372499999</v>
      </c>
      <c r="H20" s="18"/>
    </row>
    <row r="21" spans="1:12" ht="14.25" customHeight="1">
      <c r="A21" s="12">
        <v>2025</v>
      </c>
      <c r="B21" s="262">
        <f>SUM(B9:B20)</f>
        <v>4613</v>
      </c>
      <c r="C21" s="262">
        <f t="shared" ref="C21:F21" si="3">SUM(C9:C20)</f>
        <v>15079.22</v>
      </c>
      <c r="D21" s="262">
        <f t="shared" si="3"/>
        <v>14626.843399999998</v>
      </c>
      <c r="E21" s="262">
        <f t="shared" si="3"/>
        <v>3553.6810275000003</v>
      </c>
      <c r="F21" s="262">
        <f t="shared" si="3"/>
        <v>11073.162372499999</v>
      </c>
      <c r="G21" s="262">
        <f>SUM(G9:G20)</f>
        <v>88602.952796356229</v>
      </c>
      <c r="H21" s="18"/>
    </row>
    <row r="22" spans="1:12" ht="14.25" customHeight="1">
      <c r="A22" s="12">
        <f t="shared" ref="A22:A25" si="4">A21-1</f>
        <v>2024</v>
      </c>
      <c r="B22" s="61">
        <v>2682</v>
      </c>
      <c r="C22" s="25">
        <v>7327.2</v>
      </c>
      <c r="D22" s="25">
        <v>7107.3839999999991</v>
      </c>
      <c r="E22" s="25">
        <v>5715.9999999999991</v>
      </c>
      <c r="F22" s="39">
        <v>1391.3840000000005</v>
      </c>
      <c r="G22" s="42">
        <v>1391.3840000000005</v>
      </c>
      <c r="H22" s="18"/>
    </row>
    <row r="23" spans="1:12" ht="14.25" customHeight="1">
      <c r="A23" s="12">
        <f t="shared" si="4"/>
        <v>2023</v>
      </c>
      <c r="B23" s="62">
        <v>1531</v>
      </c>
      <c r="C23" s="25">
        <v>10721.65</v>
      </c>
      <c r="D23" s="25">
        <v>10400.000499999998</v>
      </c>
      <c r="E23" s="25">
        <v>3099.0284639999995</v>
      </c>
      <c r="F23" s="39">
        <v>7300.9720360000001</v>
      </c>
      <c r="G23" s="39">
        <v>7300.9720360000001</v>
      </c>
      <c r="H23" s="18"/>
    </row>
    <row r="24" spans="1:12" ht="14.25" customHeight="1">
      <c r="A24" s="12">
        <f t="shared" si="4"/>
        <v>2022</v>
      </c>
      <c r="B24" s="62">
        <v>1814</v>
      </c>
      <c r="C24" s="25">
        <v>15563.900000000001</v>
      </c>
      <c r="D24" s="25">
        <v>15096.983</v>
      </c>
      <c r="E24" s="25">
        <v>5772</v>
      </c>
      <c r="F24" s="39">
        <v>9324.9830000000002</v>
      </c>
      <c r="G24" s="42">
        <v>9324.9830000000002</v>
      </c>
      <c r="H24" s="18"/>
    </row>
    <row r="25" spans="1:12" ht="14.25" customHeight="1">
      <c r="A25" s="12">
        <f t="shared" si="4"/>
        <v>2021</v>
      </c>
      <c r="B25" s="63">
        <v>1972</v>
      </c>
      <c r="C25" s="64">
        <v>15546.980000000001</v>
      </c>
      <c r="D25" s="25">
        <v>15080.570600000001</v>
      </c>
      <c r="E25" s="32">
        <v>5852.5121740119985</v>
      </c>
      <c r="F25" s="40">
        <v>9228.0584259879979</v>
      </c>
      <c r="G25" s="40">
        <v>9228.0584259879979</v>
      </c>
      <c r="H25" s="16"/>
    </row>
    <row r="26" spans="1:12" ht="14.25" customHeight="1">
      <c r="A26" s="33"/>
      <c r="B26" s="63"/>
      <c r="C26" s="64"/>
      <c r="D26" s="25"/>
      <c r="E26" s="32"/>
      <c r="F26" s="40"/>
      <c r="G26" s="40"/>
      <c r="H26" s="16"/>
    </row>
    <row r="27" spans="1:12" ht="14.25" customHeight="1">
      <c r="A27" s="18"/>
      <c r="B27" s="18"/>
      <c r="C27" s="18"/>
      <c r="D27" s="18"/>
      <c r="E27" s="18"/>
      <c r="F27" s="18"/>
      <c r="G27" s="18"/>
      <c r="H27" s="18"/>
    </row>
    <row r="28" spans="1:12" ht="14.25" customHeight="1">
      <c r="A28" s="414"/>
      <c r="B28" s="411"/>
      <c r="C28" s="411"/>
      <c r="D28" s="411"/>
      <c r="E28" s="411"/>
      <c r="F28" s="411"/>
      <c r="G28" s="411"/>
      <c r="H28" s="411"/>
    </row>
    <row r="29" spans="1:12" ht="14.25" customHeight="1">
      <c r="A29" s="414" t="s">
        <v>27</v>
      </c>
      <c r="B29" s="411"/>
      <c r="C29" s="411"/>
      <c r="D29" s="411"/>
      <c r="E29" s="411"/>
      <c r="F29" s="411"/>
      <c r="G29" s="411"/>
      <c r="H29" s="411"/>
    </row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A29:H29"/>
    <mergeCell ref="A1:H1"/>
    <mergeCell ref="A2:H2"/>
    <mergeCell ref="A3:H3"/>
    <mergeCell ref="A4:H4"/>
    <mergeCell ref="A6:A7"/>
    <mergeCell ref="B6:B7"/>
    <mergeCell ref="C6:C7"/>
    <mergeCell ref="D6:D7"/>
    <mergeCell ref="E6:E7"/>
    <mergeCell ref="F6:F7"/>
    <mergeCell ref="G6:G7"/>
    <mergeCell ref="A28:H28"/>
  </mergeCells>
  <pageMargins left="0.7" right="0.7" top="0.75" bottom="0.75" header="0" footer="0"/>
  <pageSetup paperSize="9" scale="76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00"/>
  <sheetViews>
    <sheetView workbookViewId="0">
      <selection activeCell="E9" sqref="E9"/>
    </sheetView>
  </sheetViews>
  <sheetFormatPr defaultColWidth="14.42578125" defaultRowHeight="15" customHeight="1"/>
  <cols>
    <col min="1" max="1" width="20.5703125" customWidth="1"/>
    <col min="2" max="2" width="15" customWidth="1"/>
    <col min="3" max="3" width="17" customWidth="1"/>
    <col min="4" max="4" width="18.42578125" customWidth="1"/>
    <col min="5" max="5" width="14.28515625" customWidth="1"/>
    <col min="6" max="6" width="21.42578125" customWidth="1"/>
    <col min="7" max="7" width="19" customWidth="1"/>
    <col min="8" max="11" width="8.7109375" customWidth="1"/>
    <col min="12" max="12" width="11.5703125" customWidth="1"/>
    <col min="13" max="26" width="8.7109375" customWidth="1"/>
  </cols>
  <sheetData>
    <row r="1" spans="1:12" ht="14.25" customHeight="1">
      <c r="A1" s="419" t="s">
        <v>0</v>
      </c>
      <c r="B1" s="411"/>
      <c r="C1" s="411"/>
      <c r="D1" s="411"/>
      <c r="E1" s="411"/>
      <c r="F1" s="411"/>
      <c r="G1" s="411"/>
      <c r="H1" s="411"/>
    </row>
    <row r="2" spans="1:12" ht="14.25" customHeight="1">
      <c r="A2" s="419" t="s">
        <v>28</v>
      </c>
      <c r="B2" s="411"/>
      <c r="C2" s="411"/>
      <c r="D2" s="411"/>
      <c r="E2" s="411"/>
      <c r="F2" s="411"/>
      <c r="G2" s="411"/>
      <c r="H2" s="411"/>
    </row>
    <row r="3" spans="1:12" ht="14.25" customHeight="1">
      <c r="A3" s="419" t="s">
        <v>60</v>
      </c>
      <c r="B3" s="411"/>
      <c r="C3" s="411"/>
      <c r="D3" s="411"/>
      <c r="E3" s="411"/>
      <c r="F3" s="411"/>
      <c r="G3" s="411"/>
      <c r="H3" s="411"/>
    </row>
    <row r="4" spans="1:12" ht="14.25" customHeight="1">
      <c r="A4" s="419" t="s">
        <v>30</v>
      </c>
      <c r="B4" s="411"/>
      <c r="C4" s="411"/>
      <c r="D4" s="411"/>
      <c r="E4" s="411"/>
      <c r="F4" s="411"/>
      <c r="G4" s="411"/>
      <c r="H4" s="411"/>
    </row>
    <row r="5" spans="1:12" ht="14.25" customHeight="1">
      <c r="A5" s="65"/>
      <c r="B5" s="65"/>
      <c r="C5" s="65"/>
      <c r="D5" s="65"/>
      <c r="E5" s="65"/>
      <c r="F5" s="65"/>
      <c r="G5" s="65"/>
      <c r="H5" s="17"/>
    </row>
    <row r="6" spans="1:12" ht="14.25" customHeight="1">
      <c r="A6" s="408" t="s">
        <v>31</v>
      </c>
      <c r="B6" s="415" t="s">
        <v>32</v>
      </c>
      <c r="C6" s="415" t="s">
        <v>4</v>
      </c>
      <c r="D6" s="415" t="s">
        <v>5</v>
      </c>
      <c r="E6" s="415" t="s">
        <v>6</v>
      </c>
      <c r="F6" s="415" t="s">
        <v>33</v>
      </c>
      <c r="G6" s="415" t="s">
        <v>34</v>
      </c>
      <c r="H6" s="66"/>
    </row>
    <row r="7" spans="1:12" ht="14.25" customHeight="1">
      <c r="A7" s="409"/>
      <c r="B7" s="409"/>
      <c r="C7" s="409"/>
      <c r="D7" s="409"/>
      <c r="E7" s="409"/>
      <c r="F7" s="409"/>
      <c r="G7" s="409"/>
      <c r="H7" s="66"/>
    </row>
    <row r="8" spans="1:12" ht="14.25" customHeight="1">
      <c r="A8" s="67" t="s">
        <v>8</v>
      </c>
      <c r="B8" s="258" t="s">
        <v>9</v>
      </c>
      <c r="C8" s="258" t="s">
        <v>10</v>
      </c>
      <c r="D8" s="258" t="s">
        <v>11</v>
      </c>
      <c r="E8" s="67" t="s">
        <v>12</v>
      </c>
      <c r="F8" s="67" t="s">
        <v>35</v>
      </c>
      <c r="G8" s="67" t="s">
        <v>36</v>
      </c>
      <c r="H8" s="66"/>
    </row>
    <row r="9" spans="1:12" ht="14.25" customHeight="1">
      <c r="A9" s="190" t="s">
        <v>37</v>
      </c>
      <c r="B9" s="193">
        <v>2323</v>
      </c>
      <c r="C9" s="193">
        <v>31177.659999999996</v>
      </c>
      <c r="D9" s="253">
        <f>0.97*C9</f>
        <v>30242.330199999997</v>
      </c>
      <c r="E9" s="256">
        <v>5279.7900487290462</v>
      </c>
      <c r="F9" s="254">
        <f>D9-E9</f>
        <v>24962.54015127095</v>
      </c>
      <c r="G9" s="254">
        <f>F9</f>
        <v>24962.54015127095</v>
      </c>
      <c r="H9" s="66"/>
    </row>
    <row r="10" spans="1:12" ht="14.25" customHeight="1">
      <c r="A10" s="190" t="s">
        <v>38</v>
      </c>
      <c r="B10" s="193">
        <v>2046</v>
      </c>
      <c r="C10" s="193">
        <v>26574.870000000003</v>
      </c>
      <c r="D10" s="253">
        <f t="shared" ref="D10:L10" si="0">D9/10</f>
        <v>3024.2330199999997</v>
      </c>
      <c r="E10" s="256">
        <f t="shared" si="0"/>
        <v>527.97900487290462</v>
      </c>
      <c r="F10" s="254">
        <f t="shared" si="0"/>
        <v>2496.254015127095</v>
      </c>
      <c r="G10" s="254">
        <f t="shared" si="0"/>
        <v>2496.254015127095</v>
      </c>
      <c r="H10" s="66">
        <f t="shared" si="0"/>
        <v>0</v>
      </c>
      <c r="I10">
        <f t="shared" si="0"/>
        <v>0</v>
      </c>
      <c r="J10">
        <f t="shared" si="0"/>
        <v>0</v>
      </c>
      <c r="K10">
        <f t="shared" si="0"/>
        <v>0</v>
      </c>
      <c r="L10">
        <f t="shared" si="0"/>
        <v>0</v>
      </c>
    </row>
    <row r="11" spans="1:12" ht="14.25" customHeight="1">
      <c r="A11" s="190" t="s">
        <v>39</v>
      </c>
      <c r="B11" s="194">
        <v>2014</v>
      </c>
      <c r="C11" s="193">
        <v>30233.71</v>
      </c>
      <c r="D11" s="253">
        <f t="shared" ref="D11:D20" si="1">0.97*C11</f>
        <v>29326.698699999997</v>
      </c>
      <c r="E11" s="256">
        <v>3714.6012607893863</v>
      </c>
      <c r="F11" s="254">
        <f t="shared" ref="F11:F20" si="2">D11-E11</f>
        <v>25612.097439210611</v>
      </c>
      <c r="G11" s="254">
        <f t="shared" ref="G11:G20" si="3">G10+F11</f>
        <v>28108.351454337706</v>
      </c>
      <c r="H11" s="66"/>
    </row>
    <row r="12" spans="1:12" ht="14.25" customHeight="1">
      <c r="A12" s="190" t="s">
        <v>40</v>
      </c>
      <c r="B12" s="194">
        <v>1265</v>
      </c>
      <c r="C12" s="193">
        <v>17813.7</v>
      </c>
      <c r="D12" s="253">
        <f t="shared" si="1"/>
        <v>17279.289000000001</v>
      </c>
      <c r="E12" s="256">
        <v>5886.5189826410115</v>
      </c>
      <c r="F12" s="254">
        <f t="shared" si="2"/>
        <v>11392.770017358989</v>
      </c>
      <c r="G12" s="254">
        <f t="shared" si="3"/>
        <v>39501.121471696693</v>
      </c>
      <c r="H12" s="66"/>
    </row>
    <row r="13" spans="1:12" ht="14.25" customHeight="1">
      <c r="A13" s="190" t="s">
        <v>41</v>
      </c>
      <c r="B13" s="194">
        <v>1595</v>
      </c>
      <c r="C13" s="193">
        <v>23844.98</v>
      </c>
      <c r="D13" s="253">
        <f t="shared" si="1"/>
        <v>23129.6306</v>
      </c>
      <c r="E13" s="256">
        <v>5246.3213820623778</v>
      </c>
      <c r="F13" s="254">
        <f t="shared" si="2"/>
        <v>17883.309217937622</v>
      </c>
      <c r="G13" s="254">
        <f t="shared" si="3"/>
        <v>57384.430689634319</v>
      </c>
      <c r="H13" s="66"/>
    </row>
    <row r="14" spans="1:12" ht="14.25" customHeight="1">
      <c r="A14" s="190" t="s">
        <v>42</v>
      </c>
      <c r="B14" s="194">
        <v>3507</v>
      </c>
      <c r="C14" s="193">
        <v>54553.619999999995</v>
      </c>
      <c r="D14" s="253">
        <f t="shared" si="1"/>
        <v>52917.011399999996</v>
      </c>
      <c r="E14" s="256">
        <v>5923.5252203690543</v>
      </c>
      <c r="F14" s="254">
        <f t="shared" si="2"/>
        <v>46993.486179630941</v>
      </c>
      <c r="G14" s="254">
        <f t="shared" si="3"/>
        <v>104377.91686926526</v>
      </c>
      <c r="H14" s="66"/>
      <c r="L14" s="23"/>
    </row>
    <row r="15" spans="1:12" ht="14.25" customHeight="1">
      <c r="A15" s="190" t="s">
        <v>43</v>
      </c>
      <c r="B15" s="194">
        <v>3013</v>
      </c>
      <c r="C15" s="193">
        <v>48712.32</v>
      </c>
      <c r="D15" s="253">
        <f t="shared" si="1"/>
        <v>47250.950400000002</v>
      </c>
      <c r="E15" s="256">
        <v>5160.1807153957125</v>
      </c>
      <c r="F15" s="254">
        <f t="shared" si="2"/>
        <v>42090.769684604289</v>
      </c>
      <c r="G15" s="254">
        <f t="shared" si="3"/>
        <v>146468.68655386954</v>
      </c>
      <c r="H15" s="66"/>
      <c r="L15" s="23"/>
    </row>
    <row r="16" spans="1:12" ht="14.25" customHeight="1">
      <c r="A16" s="190" t="s">
        <v>44</v>
      </c>
      <c r="B16" s="194">
        <v>2272</v>
      </c>
      <c r="C16" s="193">
        <v>38683.740000000005</v>
      </c>
      <c r="D16" s="253">
        <f t="shared" si="1"/>
        <v>37523.227800000001</v>
      </c>
      <c r="E16" s="256">
        <v>2059.1167153957117</v>
      </c>
      <c r="F16" s="254">
        <f t="shared" si="2"/>
        <v>35464.111084604287</v>
      </c>
      <c r="G16" s="254">
        <f t="shared" si="3"/>
        <v>181932.79763847383</v>
      </c>
      <c r="H16" s="66"/>
      <c r="L16" s="23"/>
    </row>
    <row r="17" spans="1:12" ht="14.25" customHeight="1">
      <c r="A17" s="190" t="s">
        <v>45</v>
      </c>
      <c r="B17" s="194">
        <v>3421</v>
      </c>
      <c r="C17" s="193">
        <v>56839.96</v>
      </c>
      <c r="D17" s="253">
        <f t="shared" si="1"/>
        <v>55134.761200000001</v>
      </c>
      <c r="E17" s="256">
        <v>2779.6939826410116</v>
      </c>
      <c r="F17" s="254">
        <f t="shared" si="2"/>
        <v>52355.067217358992</v>
      </c>
      <c r="G17" s="254">
        <f t="shared" si="3"/>
        <v>234287.86485583283</v>
      </c>
      <c r="H17" s="66"/>
      <c r="L17" s="23"/>
    </row>
    <row r="18" spans="1:12" ht="14.25" customHeight="1">
      <c r="A18" s="190" t="s">
        <v>46</v>
      </c>
      <c r="B18" s="194">
        <v>1037</v>
      </c>
      <c r="C18" s="193">
        <v>16664.092000000001</v>
      </c>
      <c r="D18" s="253">
        <f t="shared" si="1"/>
        <v>16164.169239999999</v>
      </c>
      <c r="E18" s="256">
        <v>7382.8293820623758</v>
      </c>
      <c r="F18" s="254">
        <f t="shared" si="2"/>
        <v>8781.3398579376226</v>
      </c>
      <c r="G18" s="254">
        <f t="shared" si="3"/>
        <v>243069.20471377045</v>
      </c>
      <c r="H18" s="66"/>
      <c r="L18" s="23"/>
    </row>
    <row r="19" spans="1:12" ht="14.25" customHeight="1">
      <c r="A19" s="190" t="s">
        <v>47</v>
      </c>
      <c r="B19" s="194">
        <v>1235</v>
      </c>
      <c r="C19" s="193">
        <v>20149.28</v>
      </c>
      <c r="D19" s="253">
        <f t="shared" si="1"/>
        <v>19544.801599999999</v>
      </c>
      <c r="E19" s="256">
        <v>5183.4026493076781</v>
      </c>
      <c r="F19" s="254">
        <f t="shared" si="2"/>
        <v>14361.398950692321</v>
      </c>
      <c r="G19" s="254">
        <f t="shared" si="3"/>
        <v>257430.60366446277</v>
      </c>
      <c r="H19" s="66"/>
    </row>
    <row r="20" spans="1:12" ht="14.25" customHeight="1">
      <c r="A20" s="190" t="s">
        <v>48</v>
      </c>
      <c r="B20" s="194">
        <v>4057</v>
      </c>
      <c r="C20" s="193">
        <v>57900.340000000004</v>
      </c>
      <c r="D20" s="253">
        <f t="shared" si="1"/>
        <v>56163.3298</v>
      </c>
      <c r="E20" s="256">
        <v>5700.7199980392325</v>
      </c>
      <c r="F20" s="254">
        <f t="shared" si="2"/>
        <v>50462.609801960767</v>
      </c>
      <c r="G20" s="254">
        <f t="shared" si="3"/>
        <v>307893.21346642356</v>
      </c>
      <c r="H20" s="66"/>
    </row>
    <row r="21" spans="1:12" ht="14.25" customHeight="1">
      <c r="A21" s="255">
        <v>2025</v>
      </c>
      <c r="B21" s="261">
        <f>SUM(B9:B20)</f>
        <v>27785</v>
      </c>
      <c r="C21" s="261">
        <f t="shared" ref="C21:G21" si="4">SUM(C9:C20)</f>
        <v>423148.27200000006</v>
      </c>
      <c r="D21" s="261">
        <f t="shared" si="4"/>
        <v>387700.43296000001</v>
      </c>
      <c r="E21" s="257">
        <f t="shared" si="4"/>
        <v>54844.679342305491</v>
      </c>
      <c r="F21" s="68">
        <f t="shared" si="4"/>
        <v>332855.75361769449</v>
      </c>
      <c r="G21" s="68">
        <f t="shared" si="4"/>
        <v>1627912.9855441649</v>
      </c>
      <c r="H21" s="66"/>
    </row>
    <row r="22" spans="1:12" ht="14.25" customHeight="1">
      <c r="A22" s="12">
        <f t="shared" ref="A22:A25" si="5">A21-1</f>
        <v>2024</v>
      </c>
      <c r="B22" s="259">
        <v>28964</v>
      </c>
      <c r="C22" s="260">
        <v>409106.9</v>
      </c>
      <c r="D22" s="260">
        <v>396833.69300000009</v>
      </c>
      <c r="E22" s="26">
        <v>7211.9700000000012</v>
      </c>
      <c r="F22" s="26">
        <v>389621.723</v>
      </c>
      <c r="G22" s="26">
        <v>389621.723</v>
      </c>
      <c r="H22" s="66"/>
    </row>
    <row r="23" spans="1:12" ht="14.25" customHeight="1">
      <c r="A23" s="12">
        <f t="shared" si="5"/>
        <v>2023</v>
      </c>
      <c r="B23" s="68">
        <v>24182</v>
      </c>
      <c r="C23" s="26">
        <v>289942.04999999993</v>
      </c>
      <c r="D23" s="26">
        <v>281243.78849999997</v>
      </c>
      <c r="E23" s="26">
        <v>4705.9321119999995</v>
      </c>
      <c r="F23" s="26">
        <v>224772.603156</v>
      </c>
      <c r="G23" s="26">
        <v>224772.603156</v>
      </c>
      <c r="H23" s="66"/>
    </row>
    <row r="24" spans="1:12" ht="14.25" customHeight="1">
      <c r="A24" s="12">
        <f t="shared" si="5"/>
        <v>2022</v>
      </c>
      <c r="B24" s="68">
        <v>32571</v>
      </c>
      <c r="C24" s="26">
        <v>384448.19999999995</v>
      </c>
      <c r="D24" s="26">
        <v>372914.75399999996</v>
      </c>
      <c r="E24" s="26">
        <v>5544</v>
      </c>
      <c r="F24" s="26">
        <v>367370.75399999996</v>
      </c>
      <c r="G24" s="26">
        <v>367370.75399999996</v>
      </c>
      <c r="H24" s="66"/>
    </row>
    <row r="25" spans="1:12" ht="14.25" customHeight="1">
      <c r="A25" s="12">
        <f t="shared" si="5"/>
        <v>2021</v>
      </c>
      <c r="B25" s="69">
        <v>34082</v>
      </c>
      <c r="C25" s="70">
        <v>374443.61</v>
      </c>
      <c r="D25" s="26">
        <v>363210.30170000001</v>
      </c>
      <c r="E25" s="32">
        <v>5611.9979750800012</v>
      </c>
      <c r="F25" s="13">
        <v>357598.30372492003</v>
      </c>
      <c r="G25" s="13">
        <v>357598.30372492003</v>
      </c>
      <c r="H25" s="66"/>
    </row>
    <row r="26" spans="1:12" ht="14.25" customHeight="1">
      <c r="A26" s="71"/>
      <c r="B26" s="69"/>
      <c r="C26" s="70"/>
      <c r="D26" s="26"/>
      <c r="E26" s="32"/>
      <c r="F26" s="13"/>
      <c r="G26" s="13"/>
      <c r="H26" s="66"/>
    </row>
    <row r="27" spans="1:12" ht="14.25" customHeight="1">
      <c r="A27" s="66"/>
      <c r="B27" s="66"/>
      <c r="C27" s="66"/>
      <c r="D27" s="66"/>
      <c r="E27" s="66"/>
      <c r="F27" s="66"/>
      <c r="G27" s="66"/>
      <c r="H27" s="66"/>
    </row>
    <row r="28" spans="1:12" ht="14.25" customHeight="1">
      <c r="A28" s="414" t="s">
        <v>27</v>
      </c>
      <c r="B28" s="411"/>
      <c r="C28" s="411"/>
      <c r="D28" s="411"/>
      <c r="E28" s="411"/>
      <c r="F28" s="411"/>
      <c r="G28" s="411"/>
      <c r="H28" s="411"/>
    </row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28:H28"/>
    <mergeCell ref="D6:D7"/>
    <mergeCell ref="E6:E7"/>
    <mergeCell ref="F6:F7"/>
    <mergeCell ref="G6:G7"/>
    <mergeCell ref="A1:H1"/>
    <mergeCell ref="A2:H2"/>
    <mergeCell ref="A3:H3"/>
    <mergeCell ref="A4:H4"/>
    <mergeCell ref="A6:A7"/>
    <mergeCell ref="B6:B7"/>
    <mergeCell ref="C6:C7"/>
  </mergeCells>
  <pageMargins left="0.7" right="0.7" top="0.75" bottom="0.75" header="0" footer="0"/>
  <pageSetup paperSize="9" scale="73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0"/>
  <sheetViews>
    <sheetView topLeftCell="A13" zoomScale="106" zoomScaleNormal="106" workbookViewId="0">
      <selection activeCell="J13" sqref="J13"/>
    </sheetView>
  </sheetViews>
  <sheetFormatPr defaultColWidth="14.42578125" defaultRowHeight="15" customHeight="1"/>
  <cols>
    <col min="1" max="1" width="8.7109375" customWidth="1"/>
    <col min="2" max="2" width="21.42578125" customWidth="1"/>
    <col min="3" max="4" width="8.7109375" customWidth="1"/>
    <col min="5" max="5" width="11.85546875" customWidth="1"/>
    <col min="6" max="26" width="8.7109375" customWidth="1"/>
  </cols>
  <sheetData>
    <row r="1" spans="1:9" ht="14.25" customHeight="1">
      <c r="A1" s="424" t="s">
        <v>0</v>
      </c>
      <c r="B1" s="423"/>
      <c r="C1" s="423"/>
      <c r="D1" s="423"/>
      <c r="E1" s="423"/>
      <c r="F1" s="423"/>
      <c r="G1" s="423"/>
      <c r="H1" s="72"/>
    </row>
    <row r="2" spans="1:9" ht="14.25" customHeight="1">
      <c r="A2" s="424" t="s">
        <v>61</v>
      </c>
      <c r="B2" s="423"/>
      <c r="C2" s="423"/>
      <c r="D2" s="423"/>
      <c r="E2" s="423"/>
      <c r="F2" s="423"/>
      <c r="G2" s="423"/>
      <c r="H2" s="72"/>
    </row>
    <row r="3" spans="1:9" ht="14.25" customHeight="1">
      <c r="A3" s="424" t="s">
        <v>62</v>
      </c>
      <c r="B3" s="423"/>
      <c r="C3" s="423"/>
      <c r="D3" s="423"/>
      <c r="E3" s="423"/>
      <c r="F3" s="423"/>
      <c r="G3" s="423"/>
      <c r="H3" s="72"/>
    </row>
    <row r="4" spans="1:9" ht="14.25" customHeight="1">
      <c r="A4" s="73"/>
      <c r="B4" s="73"/>
      <c r="C4" s="73"/>
      <c r="D4" s="73"/>
      <c r="E4" s="73"/>
      <c r="F4" s="73"/>
      <c r="G4" s="74"/>
      <c r="H4" s="72"/>
    </row>
    <row r="5" spans="1:9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  <c r="G5" s="72"/>
      <c r="H5" s="72"/>
    </row>
    <row r="6" spans="1:9" ht="30" customHeight="1">
      <c r="A6" s="409"/>
      <c r="B6" s="409"/>
      <c r="C6" s="75" t="s">
        <v>67</v>
      </c>
      <c r="D6" s="75" t="s">
        <v>68</v>
      </c>
      <c r="E6" s="76" t="s">
        <v>69</v>
      </c>
      <c r="F6" s="76" t="s">
        <v>70</v>
      </c>
      <c r="G6" s="72"/>
      <c r="H6" s="77"/>
    </row>
    <row r="7" spans="1:9" ht="14.25" customHeight="1">
      <c r="A7" s="67" t="s">
        <v>8</v>
      </c>
      <c r="B7" s="67" t="s">
        <v>9</v>
      </c>
      <c r="C7" s="67" t="s">
        <v>10</v>
      </c>
      <c r="D7" s="67" t="s">
        <v>11</v>
      </c>
      <c r="E7" s="67" t="s">
        <v>12</v>
      </c>
      <c r="F7" s="67" t="s">
        <v>35</v>
      </c>
      <c r="G7" s="288"/>
      <c r="H7" s="72"/>
    </row>
    <row r="8" spans="1:9" ht="14.25" customHeight="1">
      <c r="A8" s="78">
        <v>1</v>
      </c>
      <c r="B8" s="79" t="s">
        <v>71</v>
      </c>
      <c r="C8" s="80">
        <v>97</v>
      </c>
      <c r="D8" s="81">
        <v>62</v>
      </c>
      <c r="E8" s="81">
        <v>96</v>
      </c>
      <c r="F8" s="287">
        <f>E8/D8</f>
        <v>1.5483870967741935</v>
      </c>
      <c r="G8" s="72"/>
      <c r="H8" s="291"/>
      <c r="I8" s="294"/>
    </row>
    <row r="9" spans="1:9" ht="14.25" customHeight="1">
      <c r="A9" s="78">
        <v>2</v>
      </c>
      <c r="B9" s="79" t="s">
        <v>72</v>
      </c>
      <c r="C9" s="80">
        <v>35</v>
      </c>
      <c r="D9" s="81">
        <v>8</v>
      </c>
      <c r="E9" s="81">
        <v>9.2249999999999996</v>
      </c>
      <c r="F9" s="287">
        <f t="shared" ref="F9" si="0">E9/D9</f>
        <v>1.153125</v>
      </c>
      <c r="G9" s="72"/>
      <c r="H9" s="291"/>
      <c r="I9" s="294"/>
    </row>
    <row r="10" spans="1:9" ht="14.25" customHeight="1">
      <c r="A10" s="78">
        <v>3</v>
      </c>
      <c r="B10" s="79" t="s">
        <v>73</v>
      </c>
      <c r="C10" s="80"/>
      <c r="D10" s="81"/>
      <c r="E10" s="80"/>
      <c r="F10" s="287"/>
      <c r="G10" s="72"/>
      <c r="H10" s="291"/>
      <c r="I10" s="294"/>
    </row>
    <row r="11" spans="1:9" ht="14.25" customHeight="1">
      <c r="A11" s="78">
        <v>4</v>
      </c>
      <c r="B11" s="79" t="s">
        <v>74</v>
      </c>
      <c r="C11" s="80"/>
      <c r="D11" s="81"/>
      <c r="E11" s="80"/>
      <c r="F11" s="287"/>
      <c r="G11" s="72"/>
      <c r="H11" s="291"/>
      <c r="I11" s="294"/>
    </row>
    <row r="12" spans="1:9" ht="14.25" customHeight="1">
      <c r="A12" s="78">
        <v>5</v>
      </c>
      <c r="B12" s="79" t="s">
        <v>75</v>
      </c>
      <c r="C12" s="80"/>
      <c r="D12" s="81"/>
      <c r="E12" s="80"/>
      <c r="F12" s="287"/>
      <c r="G12" s="72"/>
      <c r="H12" s="291"/>
      <c r="I12" s="294"/>
    </row>
    <row r="13" spans="1:9" ht="14.25" customHeight="1">
      <c r="A13" s="78">
        <v>6</v>
      </c>
      <c r="B13" s="79" t="s">
        <v>76</v>
      </c>
      <c r="C13" s="80"/>
      <c r="D13" s="81"/>
      <c r="E13" s="83"/>
      <c r="F13" s="287"/>
      <c r="G13" s="72"/>
      <c r="H13" s="291"/>
      <c r="I13" s="294"/>
    </row>
    <row r="14" spans="1:9" ht="14.25" customHeight="1">
      <c r="A14" s="78">
        <v>7</v>
      </c>
      <c r="B14" s="79" t="s">
        <v>77</v>
      </c>
      <c r="C14" s="80"/>
      <c r="D14" s="81"/>
      <c r="E14" s="80"/>
      <c r="F14" s="287"/>
      <c r="G14" s="72"/>
      <c r="H14" s="291"/>
      <c r="I14" s="294"/>
    </row>
    <row r="15" spans="1:9" ht="14.25" customHeight="1">
      <c r="A15" s="78">
        <v>8</v>
      </c>
      <c r="B15" s="79" t="s">
        <v>78</v>
      </c>
      <c r="C15" s="80"/>
      <c r="D15" s="81"/>
      <c r="E15" s="80"/>
      <c r="F15" s="287"/>
      <c r="G15" s="72"/>
      <c r="H15" s="291"/>
      <c r="I15" s="294"/>
    </row>
    <row r="16" spans="1:9" ht="14.25" customHeight="1">
      <c r="A16" s="78">
        <v>9</v>
      </c>
      <c r="B16" s="79" t="s">
        <v>79</v>
      </c>
      <c r="C16" s="80"/>
      <c r="D16" s="81"/>
      <c r="E16" s="80"/>
      <c r="F16" s="287"/>
      <c r="G16" s="72"/>
      <c r="H16" s="291"/>
      <c r="I16" s="294"/>
    </row>
    <row r="17" spans="1:9" ht="14.25" customHeight="1">
      <c r="A17" s="78">
        <v>10</v>
      </c>
      <c r="B17" s="79" t="s">
        <v>80</v>
      </c>
      <c r="C17" s="80"/>
      <c r="D17" s="81"/>
      <c r="E17" s="80"/>
      <c r="F17" s="287"/>
      <c r="G17" s="72"/>
      <c r="H17" s="291"/>
      <c r="I17" s="294"/>
    </row>
    <row r="18" spans="1:9" ht="14.25" customHeight="1">
      <c r="A18" s="78">
        <v>11</v>
      </c>
      <c r="B18" s="79" t="s">
        <v>81</v>
      </c>
      <c r="C18" s="80"/>
      <c r="D18" s="81"/>
      <c r="E18" s="80"/>
      <c r="F18" s="287"/>
      <c r="G18" s="72"/>
      <c r="H18" s="291"/>
      <c r="I18" s="294"/>
    </row>
    <row r="19" spans="1:9" ht="14.25" customHeight="1">
      <c r="A19" s="78">
        <v>12</v>
      </c>
      <c r="B19" s="79" t="s">
        <v>82</v>
      </c>
      <c r="C19" s="81"/>
      <c r="D19" s="81"/>
      <c r="E19" s="80"/>
      <c r="F19" s="287"/>
      <c r="G19" s="72"/>
      <c r="H19" s="291"/>
      <c r="I19" s="294"/>
    </row>
    <row r="20" spans="1:9" ht="14.25" customHeight="1">
      <c r="A20" s="78">
        <v>13</v>
      </c>
      <c r="B20" s="79" t="s">
        <v>83</v>
      </c>
      <c r="C20" s="80"/>
      <c r="D20" s="81"/>
      <c r="E20" s="80"/>
      <c r="F20" s="287"/>
      <c r="G20" s="72"/>
      <c r="H20" s="291"/>
      <c r="I20" s="294"/>
    </row>
    <row r="21" spans="1:9" ht="14.25" customHeight="1">
      <c r="A21" s="78">
        <v>14</v>
      </c>
      <c r="B21" s="79" t="s">
        <v>84</v>
      </c>
      <c r="C21" s="80"/>
      <c r="D21" s="81"/>
      <c r="E21" s="83"/>
      <c r="F21" s="287"/>
      <c r="G21" s="72"/>
      <c r="H21" s="291"/>
      <c r="I21" s="294"/>
    </row>
    <row r="22" spans="1:9" ht="14.25" customHeight="1">
      <c r="A22" s="78">
        <v>15</v>
      </c>
      <c r="B22" s="79" t="s">
        <v>85</v>
      </c>
      <c r="C22" s="80"/>
      <c r="D22" s="81"/>
      <c r="E22" s="80"/>
      <c r="F22" s="287"/>
      <c r="G22" s="72"/>
      <c r="H22" s="291"/>
      <c r="I22" s="294"/>
    </row>
    <row r="23" spans="1:9" ht="14.25" customHeight="1">
      <c r="A23" s="78">
        <v>16</v>
      </c>
      <c r="B23" s="79" t="s">
        <v>86</v>
      </c>
      <c r="C23" s="80"/>
      <c r="D23" s="81"/>
      <c r="E23" s="80"/>
      <c r="F23" s="287"/>
      <c r="G23" s="72"/>
      <c r="H23" s="291"/>
      <c r="I23" s="294"/>
    </row>
    <row r="24" spans="1:9" ht="14.25" customHeight="1">
      <c r="A24" s="78">
        <v>17</v>
      </c>
      <c r="B24" s="79" t="s">
        <v>87</v>
      </c>
      <c r="C24" s="80"/>
      <c r="D24" s="81"/>
      <c r="E24" s="80"/>
      <c r="F24" s="287"/>
      <c r="G24" s="72"/>
      <c r="H24" s="291"/>
      <c r="I24" s="293"/>
    </row>
    <row r="25" spans="1:9" ht="15" customHeight="1">
      <c r="A25" s="12"/>
      <c r="B25" s="12">
        <v>2025</v>
      </c>
      <c r="C25" s="84">
        <f>SUM(C8:C24)</f>
        <v>132</v>
      </c>
      <c r="D25" s="84">
        <f t="shared" ref="D25:F25" si="1">SUM(D8:D24)</f>
        <v>70</v>
      </c>
      <c r="E25" s="84">
        <f t="shared" si="1"/>
        <v>105.22499999999999</v>
      </c>
      <c r="F25" s="84">
        <f t="shared" si="1"/>
        <v>2.7015120967741932</v>
      </c>
      <c r="G25" s="72"/>
      <c r="H25" s="72"/>
    </row>
    <row r="26" spans="1:9" ht="14.25" customHeight="1">
      <c r="A26" s="12"/>
      <c r="B26" s="12">
        <f t="shared" ref="B26:B29" si="2">B25-1</f>
        <v>2024</v>
      </c>
      <c r="C26" s="205">
        <v>1079.6299999999997</v>
      </c>
      <c r="D26" s="205">
        <v>825.79</v>
      </c>
      <c r="E26" s="205">
        <v>789.46900000000016</v>
      </c>
      <c r="F26" s="81">
        <v>0.95601666283195508</v>
      </c>
      <c r="G26" s="72"/>
      <c r="H26" s="85"/>
    </row>
    <row r="27" spans="1:9" ht="14.25" customHeight="1">
      <c r="A27" s="12"/>
      <c r="B27" s="12">
        <f t="shared" si="2"/>
        <v>2023</v>
      </c>
      <c r="C27" s="80">
        <v>1120.26</v>
      </c>
      <c r="D27" s="80">
        <v>891.6</v>
      </c>
      <c r="E27" s="80">
        <v>746.96100000000001</v>
      </c>
      <c r="F27" s="81">
        <v>0.91875771682385676</v>
      </c>
      <c r="G27" s="72"/>
      <c r="H27" s="85"/>
    </row>
    <row r="28" spans="1:9" ht="14.25" customHeight="1">
      <c r="A28" s="12"/>
      <c r="B28" s="12">
        <f t="shared" si="2"/>
        <v>2022</v>
      </c>
      <c r="C28" s="86">
        <v>1270.26</v>
      </c>
      <c r="D28" s="86">
        <v>1009.89</v>
      </c>
      <c r="E28" s="86">
        <v>841.4799999999999</v>
      </c>
      <c r="F28" s="81">
        <v>0.83</v>
      </c>
      <c r="G28" s="72"/>
      <c r="H28" s="85"/>
    </row>
    <row r="29" spans="1:9" ht="14.25" customHeight="1">
      <c r="A29" s="12"/>
      <c r="B29" s="12">
        <f t="shared" si="2"/>
        <v>2021</v>
      </c>
      <c r="C29" s="86"/>
      <c r="D29" s="86"/>
      <c r="E29" s="86"/>
      <c r="F29" s="81"/>
      <c r="G29" s="72"/>
      <c r="H29" s="85"/>
    </row>
    <row r="30" spans="1:9" ht="14.25" customHeight="1">
      <c r="A30" s="420"/>
      <c r="B30" s="421"/>
      <c r="C30" s="86"/>
      <c r="D30" s="86"/>
      <c r="E30" s="86"/>
      <c r="F30" s="86"/>
      <c r="G30" s="72"/>
      <c r="H30" s="85"/>
    </row>
    <row r="31" spans="1:9" ht="14.25" customHeight="1">
      <c r="A31" s="72"/>
      <c r="B31" s="72"/>
      <c r="C31" s="72"/>
      <c r="D31" s="72"/>
      <c r="E31" s="72"/>
      <c r="F31" s="72"/>
      <c r="G31" s="72"/>
      <c r="H31" s="72"/>
    </row>
    <row r="32" spans="1:9" ht="14.25" customHeight="1">
      <c r="A32" s="422" t="s">
        <v>27</v>
      </c>
      <c r="B32" s="423"/>
      <c r="C32" s="423"/>
      <c r="D32" s="423"/>
      <c r="E32" s="423"/>
      <c r="F32" s="423"/>
      <c r="G32" s="423"/>
      <c r="H32" s="42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0"/>
  <sheetViews>
    <sheetView topLeftCell="A10" workbookViewId="0">
      <selection activeCell="E8" sqref="E8"/>
    </sheetView>
  </sheetViews>
  <sheetFormatPr defaultColWidth="14.42578125" defaultRowHeight="15" customHeight="1"/>
  <cols>
    <col min="1" max="1" width="4" customWidth="1"/>
    <col min="2" max="2" width="19.42578125" customWidth="1"/>
    <col min="3" max="4" width="8.7109375" customWidth="1"/>
    <col min="5" max="5" width="12.140625" customWidth="1"/>
    <col min="6" max="7" width="8.7109375" customWidth="1"/>
    <col min="8" max="8" width="11.140625" customWidth="1"/>
    <col min="9" max="26" width="8.7109375" customWidth="1"/>
  </cols>
  <sheetData>
    <row r="1" spans="1:9" ht="14.25" customHeight="1">
      <c r="A1" s="424" t="s">
        <v>0</v>
      </c>
      <c r="B1" s="423"/>
      <c r="C1" s="423"/>
      <c r="D1" s="423"/>
      <c r="E1" s="423"/>
      <c r="F1" s="423"/>
      <c r="G1" s="423"/>
      <c r="H1" s="72"/>
    </row>
    <row r="2" spans="1:9" ht="14.25" customHeight="1">
      <c r="A2" s="424" t="s">
        <v>88</v>
      </c>
      <c r="B2" s="423"/>
      <c r="C2" s="423"/>
      <c r="D2" s="423"/>
      <c r="E2" s="423"/>
      <c r="F2" s="423"/>
      <c r="G2" s="423"/>
      <c r="H2" s="72"/>
    </row>
    <row r="3" spans="1:9" ht="14.25" customHeight="1">
      <c r="A3" s="424" t="s">
        <v>62</v>
      </c>
      <c r="B3" s="423"/>
      <c r="C3" s="423"/>
      <c r="D3" s="423"/>
      <c r="E3" s="423"/>
      <c r="F3" s="423"/>
      <c r="G3" s="423"/>
      <c r="H3" s="72"/>
    </row>
    <row r="4" spans="1:9" ht="14.25" customHeight="1">
      <c r="A4" s="73"/>
      <c r="B4" s="73"/>
      <c r="C4" s="73"/>
      <c r="D4" s="73"/>
      <c r="E4" s="73"/>
      <c r="F4" s="73"/>
      <c r="G4" s="74"/>
      <c r="H4" s="72"/>
    </row>
    <row r="5" spans="1:9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  <c r="G5" s="72"/>
      <c r="H5" s="72"/>
    </row>
    <row r="6" spans="1:9" ht="49.5" customHeight="1">
      <c r="A6" s="409"/>
      <c r="B6" s="409"/>
      <c r="C6" s="75" t="s">
        <v>67</v>
      </c>
      <c r="D6" s="75" t="s">
        <v>68</v>
      </c>
      <c r="E6" s="75" t="s">
        <v>4</v>
      </c>
      <c r="F6" s="75" t="s">
        <v>70</v>
      </c>
      <c r="G6" s="288"/>
      <c r="H6" s="281"/>
    </row>
    <row r="7" spans="1:9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  <c r="G7" s="288"/>
      <c r="H7" s="282"/>
    </row>
    <row r="8" spans="1:9" ht="14.25" customHeight="1">
      <c r="A8" s="78">
        <v>1</v>
      </c>
      <c r="B8" s="79" t="s">
        <v>71</v>
      </c>
      <c r="C8" s="87">
        <v>349</v>
      </c>
      <c r="D8" s="87">
        <v>260</v>
      </c>
      <c r="E8" s="87">
        <v>260</v>
      </c>
      <c r="F8" s="283">
        <f>E8/D8</f>
        <v>1</v>
      </c>
      <c r="G8" s="292"/>
      <c r="H8" s="290"/>
      <c r="I8" s="289"/>
    </row>
    <row r="9" spans="1:9" ht="14.25" customHeight="1">
      <c r="A9" s="78">
        <v>2</v>
      </c>
      <c r="B9" s="79" t="s">
        <v>72</v>
      </c>
      <c r="C9" s="87">
        <v>55.3</v>
      </c>
      <c r="D9" s="87">
        <v>38.299999999999997</v>
      </c>
      <c r="E9" s="87">
        <v>37.753999999999998</v>
      </c>
      <c r="F9" s="283">
        <f t="shared" ref="F9" si="0">E9/D9</f>
        <v>0.98574412532637079</v>
      </c>
      <c r="G9" s="292"/>
      <c r="H9" s="290"/>
      <c r="I9" s="289"/>
    </row>
    <row r="10" spans="1:9" ht="14.25" customHeight="1">
      <c r="A10" s="78">
        <v>3</v>
      </c>
      <c r="B10" s="79" t="s">
        <v>73</v>
      </c>
      <c r="C10" s="87">
        <v>109</v>
      </c>
      <c r="D10" s="87">
        <v>92</v>
      </c>
      <c r="E10" s="87">
        <v>36.799999999999997</v>
      </c>
      <c r="F10" s="283">
        <f>E10/D10</f>
        <v>0.39999999999999997</v>
      </c>
      <c r="G10" s="292"/>
      <c r="H10" s="290"/>
      <c r="I10" s="289"/>
    </row>
    <row r="11" spans="1:9" ht="14.25" customHeight="1">
      <c r="A11" s="78">
        <v>4</v>
      </c>
      <c r="B11" s="79" t="s">
        <v>74</v>
      </c>
      <c r="C11" s="87">
        <v>114.2</v>
      </c>
      <c r="D11" s="87">
        <v>95</v>
      </c>
      <c r="E11" s="87">
        <v>66.5</v>
      </c>
      <c r="F11" s="283">
        <f t="shared" ref="F11:F22" si="1">E11/D11</f>
        <v>0.7</v>
      </c>
      <c r="G11" s="292"/>
      <c r="H11" s="291"/>
      <c r="I11" s="289"/>
    </row>
    <row r="12" spans="1:9" ht="14.25" customHeight="1">
      <c r="A12" s="78">
        <v>5</v>
      </c>
      <c r="B12" s="79" t="s">
        <v>75</v>
      </c>
      <c r="C12" s="87">
        <v>31.880000000000003</v>
      </c>
      <c r="D12" s="87">
        <v>30.6</v>
      </c>
      <c r="E12" s="87">
        <v>21.475000000000001</v>
      </c>
      <c r="F12" s="283">
        <f t="shared" si="1"/>
        <v>0.70179738562091509</v>
      </c>
      <c r="G12" s="292"/>
      <c r="H12" s="291"/>
      <c r="I12" s="289"/>
    </row>
    <row r="13" spans="1:9" ht="14.25" customHeight="1">
      <c r="A13" s="78">
        <v>6</v>
      </c>
      <c r="B13" s="79" t="s">
        <v>76</v>
      </c>
      <c r="C13" s="87">
        <v>314.81000000000006</v>
      </c>
      <c r="D13" s="87">
        <v>248.71</v>
      </c>
      <c r="E13" s="90">
        <v>80.582039999999992</v>
      </c>
      <c r="F13" s="283">
        <f t="shared" si="1"/>
        <v>0.32399999999999995</v>
      </c>
      <c r="G13" s="292"/>
      <c r="H13" s="291"/>
      <c r="I13" s="289"/>
    </row>
    <row r="14" spans="1:9" ht="14.25" customHeight="1">
      <c r="A14" s="78">
        <v>7</v>
      </c>
      <c r="B14" s="79" t="s">
        <v>77</v>
      </c>
      <c r="C14" s="87">
        <v>0</v>
      </c>
      <c r="D14" s="87">
        <v>0</v>
      </c>
      <c r="E14" s="89">
        <v>0</v>
      </c>
      <c r="F14" s="283"/>
      <c r="G14" s="72"/>
      <c r="H14" s="291"/>
      <c r="I14" s="289"/>
    </row>
    <row r="15" spans="1:9" ht="14.25" customHeight="1">
      <c r="A15" s="78">
        <v>8</v>
      </c>
      <c r="B15" s="79" t="s">
        <v>78</v>
      </c>
      <c r="C15" s="87">
        <v>54</v>
      </c>
      <c r="D15" s="87">
        <v>34</v>
      </c>
      <c r="E15" s="87">
        <v>25.5</v>
      </c>
      <c r="F15" s="283">
        <f t="shared" si="1"/>
        <v>0.75</v>
      </c>
      <c r="G15" s="72"/>
      <c r="H15" s="291"/>
      <c r="I15" s="289"/>
    </row>
    <row r="16" spans="1:9" ht="14.25" customHeight="1">
      <c r="A16" s="78">
        <v>9</v>
      </c>
      <c r="B16" s="79" t="s">
        <v>79</v>
      </c>
      <c r="C16" s="87">
        <v>14.5</v>
      </c>
      <c r="D16" s="87">
        <v>14.5</v>
      </c>
      <c r="E16" s="87">
        <v>14.21</v>
      </c>
      <c r="F16" s="283">
        <f t="shared" si="1"/>
        <v>0.98000000000000009</v>
      </c>
      <c r="G16" s="72"/>
      <c r="H16" s="291"/>
      <c r="I16" s="289"/>
    </row>
    <row r="17" spans="1:9" ht="14.25" customHeight="1">
      <c r="A17" s="78">
        <v>10</v>
      </c>
      <c r="B17" s="79" t="s">
        <v>80</v>
      </c>
      <c r="C17" s="87">
        <v>1.02</v>
      </c>
      <c r="D17" s="87">
        <v>1.02</v>
      </c>
      <c r="E17" s="87">
        <v>1.6850000000000001</v>
      </c>
      <c r="F17" s="283">
        <f t="shared" si="1"/>
        <v>1.6519607843137256</v>
      </c>
      <c r="G17" s="72"/>
      <c r="H17" s="291"/>
      <c r="I17" s="289"/>
    </row>
    <row r="18" spans="1:9" ht="14.25" customHeight="1">
      <c r="A18" s="78">
        <v>11</v>
      </c>
      <c r="B18" s="79" t="s">
        <v>81</v>
      </c>
      <c r="C18" s="87">
        <v>5</v>
      </c>
      <c r="D18" s="87">
        <v>5</v>
      </c>
      <c r="E18" s="87">
        <v>4.0499999999999998E-3</v>
      </c>
      <c r="F18" s="283">
        <f t="shared" si="1"/>
        <v>8.0999999999999996E-4</v>
      </c>
      <c r="G18" s="72"/>
      <c r="H18" s="291"/>
      <c r="I18" s="289"/>
    </row>
    <row r="19" spans="1:9" ht="14.25" customHeight="1">
      <c r="A19" s="78">
        <v>12</v>
      </c>
      <c r="B19" s="79" t="s">
        <v>82</v>
      </c>
      <c r="C19" s="87">
        <v>1.6</v>
      </c>
      <c r="D19" s="89">
        <v>1.6</v>
      </c>
      <c r="E19" s="89">
        <v>0.83721599999999996</v>
      </c>
      <c r="F19" s="283"/>
      <c r="G19" s="72"/>
      <c r="H19" s="291"/>
      <c r="I19" s="289"/>
    </row>
    <row r="20" spans="1:9" ht="14.25" customHeight="1">
      <c r="A20" s="78">
        <v>13</v>
      </c>
      <c r="B20" s="79" t="s">
        <v>83</v>
      </c>
      <c r="C20" s="87">
        <v>0</v>
      </c>
      <c r="D20" s="89">
        <v>0</v>
      </c>
      <c r="E20" s="89">
        <v>0</v>
      </c>
      <c r="F20" s="283"/>
      <c r="G20" s="72"/>
      <c r="H20" s="291"/>
      <c r="I20" s="289"/>
    </row>
    <row r="21" spans="1:9" ht="14.25" customHeight="1">
      <c r="A21" s="78">
        <v>14</v>
      </c>
      <c r="B21" s="79" t="s">
        <v>84</v>
      </c>
      <c r="C21" s="87">
        <v>2</v>
      </c>
      <c r="D21" s="89">
        <v>1</v>
      </c>
      <c r="E21" s="87">
        <v>0.76639999999999997</v>
      </c>
      <c r="F21" s="283">
        <f t="shared" si="1"/>
        <v>0.76639999999999997</v>
      </c>
      <c r="G21" s="72"/>
      <c r="H21" s="291"/>
      <c r="I21" s="289"/>
    </row>
    <row r="22" spans="1:9" ht="14.25" customHeight="1">
      <c r="A22" s="78">
        <v>15</v>
      </c>
      <c r="B22" s="79" t="s">
        <v>85</v>
      </c>
      <c r="C22" s="87">
        <v>56</v>
      </c>
      <c r="D22" s="89">
        <v>38</v>
      </c>
      <c r="E22" s="87">
        <v>28.5</v>
      </c>
      <c r="F22" s="283">
        <f t="shared" si="1"/>
        <v>0.75</v>
      </c>
      <c r="G22" s="72"/>
      <c r="H22" s="291"/>
      <c r="I22" s="289"/>
    </row>
    <row r="23" spans="1:9" ht="14.25" customHeight="1">
      <c r="A23" s="78">
        <v>16</v>
      </c>
      <c r="B23" s="79" t="s">
        <v>86</v>
      </c>
      <c r="C23" s="87">
        <v>0</v>
      </c>
      <c r="D23" s="89">
        <v>0</v>
      </c>
      <c r="E23" s="89">
        <v>0</v>
      </c>
      <c r="F23" s="283"/>
      <c r="G23" s="72"/>
      <c r="H23" s="291"/>
      <c r="I23" s="289"/>
    </row>
    <row r="24" spans="1:9" ht="14.25" customHeight="1">
      <c r="A24" s="78">
        <v>17</v>
      </c>
      <c r="B24" s="79" t="s">
        <v>87</v>
      </c>
      <c r="C24" s="87">
        <v>2</v>
      </c>
      <c r="D24" s="89">
        <v>2</v>
      </c>
      <c r="E24" s="89">
        <v>0.75</v>
      </c>
      <c r="F24" s="283"/>
      <c r="G24" s="72"/>
      <c r="H24" s="291"/>
      <c r="I24" s="289"/>
    </row>
    <row r="25" spans="1:9" ht="15" customHeight="1">
      <c r="A25" s="12"/>
      <c r="B25" s="12">
        <v>2025</v>
      </c>
      <c r="C25" s="91">
        <f>SUM(C8:C24)</f>
        <v>1110.31</v>
      </c>
      <c r="D25" s="91">
        <f t="shared" ref="D25:E25" si="2">SUM(D8:D24)</f>
        <v>861.73</v>
      </c>
      <c r="E25" s="91">
        <f t="shared" si="2"/>
        <v>575.36370599999998</v>
      </c>
      <c r="F25" s="91">
        <f>SUM(F8:F24)</f>
        <v>9.0107122952610119</v>
      </c>
      <c r="G25" s="72"/>
      <c r="H25" s="72"/>
    </row>
    <row r="26" spans="1:9" ht="14.25" customHeight="1">
      <c r="A26" s="12"/>
      <c r="B26" s="12">
        <f t="shared" ref="B26:B29" si="3">B25-1</f>
        <v>2024</v>
      </c>
      <c r="C26" s="206">
        <v>72.47</v>
      </c>
      <c r="D26" s="206">
        <v>66.75</v>
      </c>
      <c r="E26" s="206">
        <v>536.73</v>
      </c>
      <c r="F26" s="207">
        <v>8.0408988764044942</v>
      </c>
      <c r="G26" s="72"/>
      <c r="H26" s="72"/>
    </row>
    <row r="27" spans="1:9" ht="14.25" customHeight="1">
      <c r="A27" s="12"/>
      <c r="B27" s="12">
        <f t="shared" si="3"/>
        <v>2023</v>
      </c>
      <c r="C27" s="206">
        <v>74.7</v>
      </c>
      <c r="D27" s="206">
        <v>68</v>
      </c>
      <c r="E27" s="206">
        <v>668.47500000000002</v>
      </c>
      <c r="F27" s="207">
        <v>9.65</v>
      </c>
      <c r="G27" s="72"/>
      <c r="H27" s="72"/>
    </row>
    <row r="28" spans="1:9" ht="14.25" customHeight="1">
      <c r="A28" s="12"/>
      <c r="B28" s="12">
        <f t="shared" si="3"/>
        <v>2022</v>
      </c>
      <c r="C28" s="208">
        <v>74.27000000000001</v>
      </c>
      <c r="D28" s="208">
        <v>69.75</v>
      </c>
      <c r="E28" s="208">
        <v>668.75</v>
      </c>
      <c r="F28" s="207">
        <v>9.59</v>
      </c>
      <c r="G28" s="72"/>
      <c r="H28" s="72"/>
    </row>
    <row r="29" spans="1:9" ht="14.25" customHeight="1">
      <c r="A29" s="12"/>
      <c r="B29" s="12">
        <f t="shared" si="3"/>
        <v>2021</v>
      </c>
      <c r="C29" s="92"/>
      <c r="D29" s="92"/>
      <c r="E29" s="92"/>
      <c r="F29" s="81"/>
      <c r="G29" s="72"/>
      <c r="H29" s="72"/>
    </row>
    <row r="30" spans="1:9" ht="14.25" customHeight="1">
      <c r="A30" s="420"/>
      <c r="B30" s="421"/>
      <c r="C30" s="92"/>
      <c r="D30" s="92"/>
      <c r="E30" s="92"/>
      <c r="F30" s="92"/>
      <c r="G30" s="72"/>
      <c r="H30" s="72"/>
    </row>
    <row r="31" spans="1:9" ht="14.25" customHeight="1">
      <c r="A31" s="72"/>
      <c r="B31" s="72"/>
      <c r="C31" s="72"/>
      <c r="D31" s="72"/>
      <c r="E31" s="72"/>
      <c r="F31" s="72"/>
      <c r="G31" s="72"/>
      <c r="H31" s="72"/>
    </row>
    <row r="32" spans="1:9" ht="14.25" customHeight="1">
      <c r="A32" s="422" t="s">
        <v>27</v>
      </c>
      <c r="B32" s="423"/>
      <c r="C32" s="423"/>
      <c r="D32" s="423"/>
      <c r="E32" s="423"/>
      <c r="F32" s="423"/>
      <c r="G32" s="423"/>
      <c r="H32" s="42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000"/>
  <sheetViews>
    <sheetView topLeftCell="B4" workbookViewId="0">
      <selection activeCell="F16" sqref="F16"/>
    </sheetView>
  </sheetViews>
  <sheetFormatPr defaultColWidth="14.42578125" defaultRowHeight="15" customHeight="1"/>
  <cols>
    <col min="1" max="1" width="4.7109375" customWidth="1"/>
    <col min="2" max="2" width="21.85546875" customWidth="1"/>
    <col min="3" max="3" width="10.28515625" customWidth="1"/>
    <col min="4" max="4" width="8.7109375" customWidth="1"/>
    <col min="5" max="5" width="12.5703125" customWidth="1"/>
    <col min="6" max="6" width="10.42578125" bestFit="1" customWidth="1"/>
    <col min="7" max="26" width="8.7109375" customWidth="1"/>
  </cols>
  <sheetData>
    <row r="1" spans="1:9" ht="14.25" customHeight="1">
      <c r="A1" s="424" t="s">
        <v>0</v>
      </c>
      <c r="B1" s="423"/>
      <c r="C1" s="423"/>
      <c r="D1" s="423"/>
      <c r="E1" s="423"/>
      <c r="F1" s="423"/>
      <c r="G1" s="423"/>
      <c r="H1" s="72"/>
    </row>
    <row r="2" spans="1:9" ht="14.25" customHeight="1">
      <c r="A2" s="424" t="s">
        <v>89</v>
      </c>
      <c r="B2" s="423"/>
      <c r="C2" s="423"/>
      <c r="D2" s="423"/>
      <c r="E2" s="423"/>
      <c r="F2" s="423"/>
      <c r="G2" s="423"/>
      <c r="H2" s="72"/>
    </row>
    <row r="3" spans="1:9" ht="14.25" customHeight="1">
      <c r="A3" s="424" t="s">
        <v>62</v>
      </c>
      <c r="B3" s="423"/>
      <c r="C3" s="423"/>
      <c r="D3" s="423"/>
      <c r="E3" s="423"/>
      <c r="F3" s="423"/>
      <c r="G3" s="423"/>
      <c r="H3" s="72"/>
    </row>
    <row r="4" spans="1:9" ht="14.25" customHeight="1">
      <c r="A4" s="73"/>
      <c r="B4" s="73"/>
      <c r="C4" s="73"/>
      <c r="D4" s="73"/>
      <c r="E4" s="73"/>
      <c r="F4" s="73"/>
      <c r="G4" s="74"/>
      <c r="H4" s="72"/>
    </row>
    <row r="5" spans="1:9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  <c r="G5" s="72"/>
      <c r="H5" s="72"/>
    </row>
    <row r="6" spans="1:9" ht="45.75" customHeight="1">
      <c r="A6" s="409"/>
      <c r="B6" s="409"/>
      <c r="C6" s="75" t="s">
        <v>67</v>
      </c>
      <c r="D6" s="75" t="s">
        <v>68</v>
      </c>
      <c r="E6" s="75" t="s">
        <v>4</v>
      </c>
      <c r="F6" s="75" t="s">
        <v>70</v>
      </c>
      <c r="G6" s="72"/>
      <c r="H6" s="72"/>
    </row>
    <row r="7" spans="1:9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  <c r="G7" s="288"/>
    </row>
    <row r="8" spans="1:9" ht="14.25" customHeight="1">
      <c r="A8" s="78">
        <v>1</v>
      </c>
      <c r="B8" s="79" t="s">
        <v>71</v>
      </c>
      <c r="C8" s="87"/>
      <c r="D8" s="89">
        <v>0</v>
      </c>
      <c r="E8" s="87"/>
      <c r="F8" s="287"/>
      <c r="G8" s="72"/>
      <c r="H8" s="291"/>
      <c r="I8" s="294"/>
    </row>
    <row r="9" spans="1:9" ht="14.25" customHeight="1">
      <c r="A9" s="78">
        <v>2</v>
      </c>
      <c r="B9" s="79" t="s">
        <v>72</v>
      </c>
      <c r="C9" s="87"/>
      <c r="D9" s="89">
        <v>0</v>
      </c>
      <c r="E9" s="87"/>
      <c r="F9" s="287"/>
      <c r="G9" s="72"/>
      <c r="H9" s="291"/>
      <c r="I9" s="294"/>
    </row>
    <row r="10" spans="1:9" ht="14.25" customHeight="1">
      <c r="A10" s="78">
        <v>3</v>
      </c>
      <c r="B10" s="79" t="s">
        <v>73</v>
      </c>
      <c r="C10" s="87"/>
      <c r="D10" s="89">
        <v>0</v>
      </c>
      <c r="E10" s="87"/>
      <c r="F10" s="80"/>
      <c r="G10" s="72"/>
      <c r="H10" s="295"/>
      <c r="I10" s="294"/>
    </row>
    <row r="11" spans="1:9" ht="14.25" customHeight="1">
      <c r="A11" s="78">
        <v>4</v>
      </c>
      <c r="B11" s="79" t="s">
        <v>74</v>
      </c>
      <c r="C11" s="87">
        <v>34.119999999999997</v>
      </c>
      <c r="D11" s="89">
        <v>8.3000000000000007</v>
      </c>
      <c r="E11" s="87">
        <v>4</v>
      </c>
      <c r="F11" s="287">
        <f>E11/D11</f>
        <v>0.48192771084337344</v>
      </c>
      <c r="G11" s="72"/>
      <c r="H11" s="291"/>
      <c r="I11" s="294"/>
    </row>
    <row r="12" spans="1:9" ht="14.25" customHeight="1">
      <c r="A12" s="78">
        <v>5</v>
      </c>
      <c r="B12" s="79" t="s">
        <v>75</v>
      </c>
      <c r="C12" s="87">
        <v>276.5</v>
      </c>
      <c r="D12" s="89">
        <v>146.5</v>
      </c>
      <c r="E12" s="87">
        <v>60.924999999999997</v>
      </c>
      <c r="F12" s="287">
        <f>E12/D12</f>
        <v>0.4158703071672355</v>
      </c>
      <c r="G12" s="292"/>
      <c r="H12" s="291"/>
      <c r="I12" s="294"/>
    </row>
    <row r="13" spans="1:9" ht="14.25" customHeight="1">
      <c r="A13" s="78">
        <v>6</v>
      </c>
      <c r="B13" s="79" t="s">
        <v>76</v>
      </c>
      <c r="C13" s="87"/>
      <c r="D13" s="89">
        <v>0</v>
      </c>
      <c r="E13" s="87"/>
      <c r="F13" s="80"/>
      <c r="G13" s="72"/>
      <c r="H13" s="295"/>
      <c r="I13" s="294"/>
    </row>
    <row r="14" spans="1:9" ht="14.25" customHeight="1">
      <c r="A14" s="78">
        <v>7</v>
      </c>
      <c r="B14" s="79" t="s">
        <v>77</v>
      </c>
      <c r="C14" s="87"/>
      <c r="D14" s="89">
        <v>0</v>
      </c>
      <c r="E14" s="87"/>
      <c r="F14" s="80"/>
      <c r="G14" s="72"/>
      <c r="H14" s="295"/>
      <c r="I14" s="294"/>
    </row>
    <row r="15" spans="1:9" ht="14.25" customHeight="1">
      <c r="A15" s="78">
        <v>8</v>
      </c>
      <c r="B15" s="79" t="s">
        <v>78</v>
      </c>
      <c r="C15" s="87"/>
      <c r="D15" s="89">
        <v>0</v>
      </c>
      <c r="E15" s="87"/>
      <c r="F15" s="80"/>
      <c r="G15" s="72"/>
      <c r="H15" s="295"/>
      <c r="I15" s="294"/>
    </row>
    <row r="16" spans="1:9" ht="14.25" customHeight="1">
      <c r="A16" s="78">
        <v>9</v>
      </c>
      <c r="B16" s="79" t="s">
        <v>79</v>
      </c>
      <c r="C16" s="87"/>
      <c r="D16" s="89">
        <v>0</v>
      </c>
      <c r="E16" s="87"/>
      <c r="F16" s="287"/>
      <c r="G16" s="72"/>
      <c r="H16" s="291"/>
      <c r="I16" s="294"/>
    </row>
    <row r="17" spans="1:9" ht="14.25" customHeight="1">
      <c r="A17" s="78">
        <v>10</v>
      </c>
      <c r="B17" s="79" t="s">
        <v>80</v>
      </c>
      <c r="C17" s="87"/>
      <c r="D17" s="89">
        <v>0</v>
      </c>
      <c r="E17" s="87"/>
      <c r="F17" s="87"/>
      <c r="G17" s="72"/>
      <c r="H17" s="295"/>
      <c r="I17" s="294"/>
    </row>
    <row r="18" spans="1:9" ht="14.25" customHeight="1">
      <c r="A18" s="78">
        <v>11</v>
      </c>
      <c r="B18" s="79" t="s">
        <v>81</v>
      </c>
      <c r="C18" s="87"/>
      <c r="D18" s="89">
        <v>0</v>
      </c>
      <c r="E18" s="87"/>
      <c r="F18" s="87"/>
      <c r="G18" s="72"/>
      <c r="H18" s="295"/>
      <c r="I18" s="294"/>
    </row>
    <row r="19" spans="1:9" ht="14.25" customHeight="1">
      <c r="A19" s="78">
        <v>12</v>
      </c>
      <c r="B19" s="79" t="s">
        <v>82</v>
      </c>
      <c r="C19" s="87"/>
      <c r="D19" s="89">
        <v>0</v>
      </c>
      <c r="E19" s="87"/>
      <c r="F19" s="87"/>
      <c r="G19" s="72"/>
      <c r="H19" s="295"/>
      <c r="I19" s="294"/>
    </row>
    <row r="20" spans="1:9" ht="14.25" customHeight="1">
      <c r="A20" s="78">
        <v>13</v>
      </c>
      <c r="B20" s="79" t="s">
        <v>83</v>
      </c>
      <c r="C20" s="87"/>
      <c r="D20" s="89">
        <v>0</v>
      </c>
      <c r="E20" s="87"/>
      <c r="F20" s="87"/>
      <c r="G20" s="72"/>
      <c r="H20" s="295"/>
      <c r="I20" s="294"/>
    </row>
    <row r="21" spans="1:9" ht="14.25" customHeight="1">
      <c r="A21" s="78">
        <v>14</v>
      </c>
      <c r="B21" s="79" t="s">
        <v>84</v>
      </c>
      <c r="C21" s="87"/>
      <c r="D21" s="89">
        <v>0</v>
      </c>
      <c r="E21" s="87"/>
      <c r="F21" s="87"/>
      <c r="G21" s="72"/>
      <c r="H21" s="295"/>
      <c r="I21" s="294"/>
    </row>
    <row r="22" spans="1:9" ht="14.25" customHeight="1">
      <c r="A22" s="78">
        <v>15</v>
      </c>
      <c r="B22" s="79" t="s">
        <v>85</v>
      </c>
      <c r="C22" s="87"/>
      <c r="D22" s="89">
        <v>0</v>
      </c>
      <c r="E22" s="87"/>
      <c r="F22" s="87"/>
      <c r="G22" s="72"/>
      <c r="H22" s="295"/>
      <c r="I22" s="294"/>
    </row>
    <row r="23" spans="1:9" ht="14.25" customHeight="1">
      <c r="A23" s="78">
        <v>16</v>
      </c>
      <c r="B23" s="79" t="s">
        <v>86</v>
      </c>
      <c r="C23" s="87"/>
      <c r="D23" s="89">
        <v>0</v>
      </c>
      <c r="E23" s="87"/>
      <c r="F23" s="87"/>
      <c r="G23" s="72"/>
      <c r="H23" s="295"/>
      <c r="I23" s="294"/>
    </row>
    <row r="24" spans="1:9" ht="14.25" customHeight="1">
      <c r="A24" s="78">
        <v>17</v>
      </c>
      <c r="B24" s="79" t="s">
        <v>87</v>
      </c>
      <c r="C24" s="87"/>
      <c r="D24" s="89">
        <v>0</v>
      </c>
      <c r="E24" s="87"/>
      <c r="F24" s="87"/>
      <c r="G24" s="72"/>
      <c r="H24" s="295"/>
      <c r="I24" s="294"/>
    </row>
    <row r="25" spans="1:9" ht="15" customHeight="1">
      <c r="A25" s="12"/>
      <c r="B25" s="12">
        <v>2025</v>
      </c>
      <c r="C25" s="94">
        <f>SUM(C8:C24)</f>
        <v>310.62</v>
      </c>
      <c r="D25" s="94">
        <f t="shared" ref="D25:F25" si="0">SUM(D8:D24)</f>
        <v>154.80000000000001</v>
      </c>
      <c r="E25" s="94">
        <f t="shared" si="0"/>
        <v>64.924999999999997</v>
      </c>
      <c r="F25" s="94">
        <f t="shared" si="0"/>
        <v>0.89779801801060888</v>
      </c>
      <c r="G25" s="72"/>
      <c r="H25" s="93"/>
    </row>
    <row r="26" spans="1:9" ht="14.25" customHeight="1">
      <c r="A26" s="12"/>
      <c r="B26" s="12">
        <f t="shared" ref="B26:B29" si="1">B25-1</f>
        <v>2024</v>
      </c>
      <c r="C26" s="206">
        <v>1444.05</v>
      </c>
      <c r="D26" s="206">
        <v>874.8</v>
      </c>
      <c r="E26" s="206">
        <v>608.64599999999996</v>
      </c>
      <c r="F26" s="207">
        <v>0.69575445816186554</v>
      </c>
      <c r="G26" s="72"/>
      <c r="H26" s="72"/>
    </row>
    <row r="27" spans="1:9" ht="14.25" customHeight="1">
      <c r="A27" s="12"/>
      <c r="B27" s="12">
        <f t="shared" si="1"/>
        <v>2023</v>
      </c>
      <c r="C27" s="206">
        <v>1448.62</v>
      </c>
      <c r="D27" s="206">
        <v>854</v>
      </c>
      <c r="E27" s="206">
        <v>795.46900000000005</v>
      </c>
      <c r="F27" s="207">
        <v>0.81265162180814365</v>
      </c>
      <c r="G27" s="72"/>
      <c r="H27" s="72"/>
    </row>
    <row r="28" spans="1:9" ht="14.25" customHeight="1">
      <c r="A28" s="12"/>
      <c r="B28" s="12">
        <f t="shared" si="1"/>
        <v>2022</v>
      </c>
      <c r="C28" s="208">
        <v>1254.77</v>
      </c>
      <c r="D28" s="208">
        <v>788.65</v>
      </c>
      <c r="E28" s="208">
        <v>658.02</v>
      </c>
      <c r="F28" s="207">
        <v>0.83</v>
      </c>
      <c r="G28" s="72"/>
      <c r="H28" s="72"/>
    </row>
    <row r="29" spans="1:9" ht="14.25" customHeight="1">
      <c r="A29" s="12"/>
      <c r="B29" s="12">
        <f t="shared" si="1"/>
        <v>2021</v>
      </c>
      <c r="C29" s="208"/>
      <c r="D29" s="208"/>
      <c r="E29" s="208"/>
      <c r="F29" s="207"/>
      <c r="G29" s="72"/>
      <c r="H29" s="72"/>
    </row>
    <row r="30" spans="1:9" ht="14.25" customHeight="1">
      <c r="A30" s="420"/>
      <c r="B30" s="421"/>
      <c r="C30" s="92"/>
      <c r="D30" s="92"/>
      <c r="E30" s="92"/>
      <c r="F30" s="81"/>
      <c r="G30" s="72"/>
      <c r="H30" s="72"/>
    </row>
    <row r="31" spans="1:9" ht="14.25" customHeight="1">
      <c r="A31" s="72"/>
      <c r="B31" s="72"/>
      <c r="C31" s="72"/>
      <c r="D31" s="72"/>
      <c r="E31" s="72"/>
      <c r="F31" s="72"/>
      <c r="G31" s="72"/>
      <c r="H31" s="72"/>
    </row>
    <row r="32" spans="1:9" ht="14.25" customHeight="1">
      <c r="A32" s="422" t="s">
        <v>27</v>
      </c>
      <c r="B32" s="423"/>
      <c r="C32" s="423"/>
      <c r="D32" s="423"/>
      <c r="E32" s="423"/>
      <c r="F32" s="423"/>
      <c r="G32" s="423"/>
      <c r="H32" s="42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000"/>
  <sheetViews>
    <sheetView topLeftCell="A4" workbookViewId="0">
      <selection activeCell="E11" sqref="E11"/>
    </sheetView>
  </sheetViews>
  <sheetFormatPr defaultColWidth="14.42578125" defaultRowHeight="15" customHeight="1"/>
  <cols>
    <col min="1" max="1" width="5.7109375" customWidth="1"/>
    <col min="2" max="2" width="19.42578125" customWidth="1"/>
    <col min="3" max="4" width="8.7109375" customWidth="1"/>
    <col min="5" max="5" width="13.7109375" customWidth="1"/>
    <col min="6" max="8" width="8.7109375" customWidth="1"/>
    <col min="9" max="9" width="14.28515625" customWidth="1"/>
    <col min="10" max="26" width="8.7109375" customWidth="1"/>
  </cols>
  <sheetData>
    <row r="1" spans="1:9" ht="14.25" customHeight="1">
      <c r="A1" s="424" t="s">
        <v>0</v>
      </c>
      <c r="B1" s="423"/>
      <c r="C1" s="423"/>
      <c r="D1" s="423"/>
      <c r="E1" s="423"/>
      <c r="F1" s="423"/>
      <c r="G1" s="423"/>
      <c r="H1" s="72"/>
    </row>
    <row r="2" spans="1:9" ht="14.25" customHeight="1">
      <c r="A2" s="424" t="s">
        <v>90</v>
      </c>
      <c r="B2" s="423"/>
      <c r="C2" s="423"/>
      <c r="D2" s="423"/>
      <c r="E2" s="423"/>
      <c r="F2" s="423"/>
      <c r="G2" s="423"/>
      <c r="H2" s="72"/>
    </row>
    <row r="3" spans="1:9" ht="14.25" customHeight="1">
      <c r="A3" s="424" t="s">
        <v>62</v>
      </c>
      <c r="B3" s="423"/>
      <c r="C3" s="423"/>
      <c r="D3" s="423"/>
      <c r="E3" s="423"/>
      <c r="F3" s="423"/>
      <c r="G3" s="423"/>
      <c r="H3" s="72"/>
    </row>
    <row r="4" spans="1:9" ht="14.25" customHeight="1">
      <c r="A4" s="73"/>
      <c r="B4" s="73"/>
      <c r="C4" s="73"/>
      <c r="D4" s="73"/>
      <c r="E4" s="73"/>
      <c r="F4" s="73"/>
      <c r="G4" s="74"/>
      <c r="H4" s="72"/>
    </row>
    <row r="5" spans="1:9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  <c r="G5" s="72"/>
      <c r="H5" s="72"/>
    </row>
    <row r="6" spans="1:9" ht="45.75" customHeight="1">
      <c r="A6" s="409"/>
      <c r="B6" s="409"/>
      <c r="C6" s="75" t="s">
        <v>67</v>
      </c>
      <c r="D6" s="75" t="s">
        <v>68</v>
      </c>
      <c r="E6" s="75" t="s">
        <v>91</v>
      </c>
      <c r="F6" s="75" t="s">
        <v>70</v>
      </c>
      <c r="G6" s="72"/>
      <c r="H6" s="72"/>
    </row>
    <row r="7" spans="1:9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  <c r="G7" s="288"/>
      <c r="H7" s="72"/>
    </row>
    <row r="8" spans="1:9" ht="14.25" customHeight="1">
      <c r="A8" s="78">
        <v>1</v>
      </c>
      <c r="B8" s="79" t="s">
        <v>71</v>
      </c>
      <c r="C8" s="87">
        <v>0</v>
      </c>
      <c r="D8" s="87">
        <v>0</v>
      </c>
      <c r="E8" s="87">
        <v>0</v>
      </c>
      <c r="F8" s="87"/>
      <c r="G8" s="292"/>
      <c r="H8" s="72"/>
    </row>
    <row r="9" spans="1:9" ht="14.25" customHeight="1">
      <c r="A9" s="78">
        <v>2</v>
      </c>
      <c r="B9" s="79" t="s">
        <v>72</v>
      </c>
      <c r="C9" s="87">
        <v>25</v>
      </c>
      <c r="D9" s="87">
        <v>0</v>
      </c>
      <c r="E9" s="87">
        <v>0</v>
      </c>
      <c r="F9" s="87"/>
      <c r="G9" s="292"/>
      <c r="H9" s="72"/>
    </row>
    <row r="10" spans="1:9" ht="14.25" customHeight="1">
      <c r="A10" s="78">
        <v>3</v>
      </c>
      <c r="B10" s="79" t="s">
        <v>73</v>
      </c>
      <c r="C10" s="87">
        <v>0</v>
      </c>
      <c r="D10" s="87">
        <v>0</v>
      </c>
      <c r="E10" s="87">
        <v>0</v>
      </c>
      <c r="F10" s="87"/>
      <c r="G10" s="292"/>
      <c r="H10" s="72"/>
    </row>
    <row r="11" spans="1:9" ht="14.25" customHeight="1">
      <c r="A11" s="78">
        <v>4</v>
      </c>
      <c r="B11" s="79" t="s">
        <v>74</v>
      </c>
      <c r="C11" s="89">
        <v>37.119999999999997</v>
      </c>
      <c r="D11" s="89">
        <v>8.3000000000000007</v>
      </c>
      <c r="E11" s="88">
        <f>4150/1000</f>
        <v>4.1500000000000004</v>
      </c>
      <c r="F11" s="283">
        <f>E11/D11</f>
        <v>0.5</v>
      </c>
      <c r="G11" s="292"/>
      <c r="H11" s="72"/>
      <c r="I11" s="351"/>
    </row>
    <row r="12" spans="1:9" ht="14.25" customHeight="1">
      <c r="A12" s="78">
        <v>5</v>
      </c>
      <c r="B12" s="79" t="s">
        <v>75</v>
      </c>
      <c r="C12" s="89">
        <v>266.5</v>
      </c>
      <c r="D12" s="89">
        <v>146.5</v>
      </c>
      <c r="E12" s="88">
        <f>61245/1000</f>
        <v>61.244999999999997</v>
      </c>
      <c r="F12" s="283">
        <f>E12/D12</f>
        <v>0.41805460750853241</v>
      </c>
      <c r="G12" s="292"/>
      <c r="H12" s="72"/>
      <c r="I12" s="351"/>
    </row>
    <row r="13" spans="1:9" ht="14.25" customHeight="1">
      <c r="A13" s="78">
        <v>6</v>
      </c>
      <c r="B13" s="79" t="s">
        <v>76</v>
      </c>
      <c r="C13" s="87">
        <v>0</v>
      </c>
      <c r="D13" s="87">
        <v>0</v>
      </c>
      <c r="E13" s="87">
        <v>0</v>
      </c>
      <c r="F13" s="87"/>
      <c r="G13" s="292"/>
      <c r="H13" s="72"/>
    </row>
    <row r="14" spans="1:9" ht="14.25" customHeight="1">
      <c r="A14" s="78">
        <v>7</v>
      </c>
      <c r="B14" s="79" t="s">
        <v>77</v>
      </c>
      <c r="C14" s="87">
        <v>0</v>
      </c>
      <c r="D14" s="87">
        <v>0</v>
      </c>
      <c r="E14" s="87">
        <v>0</v>
      </c>
      <c r="F14" s="87"/>
      <c r="G14" s="292"/>
      <c r="H14" s="72"/>
    </row>
    <row r="15" spans="1:9" ht="14.25" customHeight="1">
      <c r="A15" s="78">
        <v>8</v>
      </c>
      <c r="B15" s="79" t="s">
        <v>78</v>
      </c>
      <c r="C15" s="87">
        <v>0</v>
      </c>
      <c r="D15" s="87">
        <v>0</v>
      </c>
      <c r="E15" s="87">
        <v>0</v>
      </c>
      <c r="F15" s="87"/>
      <c r="G15" s="292"/>
      <c r="H15" s="72"/>
    </row>
    <row r="16" spans="1:9" ht="14.25" customHeight="1">
      <c r="A16" s="78">
        <v>9</v>
      </c>
      <c r="B16" s="79" t="s">
        <v>79</v>
      </c>
      <c r="C16" s="87">
        <v>0</v>
      </c>
      <c r="D16" s="87">
        <v>0</v>
      </c>
      <c r="E16" s="87">
        <v>0</v>
      </c>
      <c r="F16" s="87"/>
      <c r="G16" s="292"/>
      <c r="H16" s="72"/>
    </row>
    <row r="17" spans="1:8" ht="14.25" customHeight="1">
      <c r="A17" s="78">
        <v>10</v>
      </c>
      <c r="B17" s="79" t="s">
        <v>80</v>
      </c>
      <c r="C17" s="87">
        <v>0</v>
      </c>
      <c r="D17" s="87">
        <v>0</v>
      </c>
      <c r="E17" s="87">
        <v>0</v>
      </c>
      <c r="F17" s="87"/>
      <c r="G17" s="292"/>
      <c r="H17" s="72"/>
    </row>
    <row r="18" spans="1:8" ht="14.25" customHeight="1">
      <c r="A18" s="78">
        <v>11</v>
      </c>
      <c r="B18" s="79" t="s">
        <v>81</v>
      </c>
      <c r="C18" s="87">
        <v>0</v>
      </c>
      <c r="D18" s="87">
        <v>0</v>
      </c>
      <c r="E18" s="87">
        <v>0</v>
      </c>
      <c r="F18" s="87"/>
      <c r="G18" s="292"/>
      <c r="H18" s="72"/>
    </row>
    <row r="19" spans="1:8" ht="14.25" customHeight="1">
      <c r="A19" s="78">
        <v>12</v>
      </c>
      <c r="B19" s="79" t="s">
        <v>82</v>
      </c>
      <c r="C19" s="87">
        <v>0</v>
      </c>
      <c r="D19" s="87">
        <v>0</v>
      </c>
      <c r="E19" s="87">
        <v>0</v>
      </c>
      <c r="F19" s="87"/>
      <c r="G19" s="292"/>
      <c r="H19" s="72"/>
    </row>
    <row r="20" spans="1:8" ht="14.25" customHeight="1">
      <c r="A20" s="78">
        <v>13</v>
      </c>
      <c r="B20" s="79" t="s">
        <v>83</v>
      </c>
      <c r="C20" s="87">
        <v>0</v>
      </c>
      <c r="D20" s="87">
        <v>0</v>
      </c>
      <c r="E20" s="87">
        <v>0</v>
      </c>
      <c r="F20" s="87"/>
      <c r="G20" s="292"/>
      <c r="H20" s="72"/>
    </row>
    <row r="21" spans="1:8" ht="14.25" customHeight="1">
      <c r="A21" s="78">
        <v>14</v>
      </c>
      <c r="B21" s="79" t="s">
        <v>84</v>
      </c>
      <c r="C21" s="87">
        <v>0</v>
      </c>
      <c r="D21" s="87">
        <v>0</v>
      </c>
      <c r="E21" s="87">
        <v>0</v>
      </c>
      <c r="F21" s="87"/>
      <c r="G21" s="292"/>
      <c r="H21" s="72"/>
    </row>
    <row r="22" spans="1:8" ht="14.25" customHeight="1">
      <c r="A22" s="78">
        <v>15</v>
      </c>
      <c r="B22" s="79" t="s">
        <v>85</v>
      </c>
      <c r="C22" s="87">
        <v>0</v>
      </c>
      <c r="D22" s="87">
        <v>0</v>
      </c>
      <c r="E22" s="87">
        <v>0</v>
      </c>
      <c r="F22" s="87"/>
      <c r="G22" s="292"/>
      <c r="H22" s="72"/>
    </row>
    <row r="23" spans="1:8" ht="14.25" customHeight="1">
      <c r="A23" s="78">
        <v>16</v>
      </c>
      <c r="B23" s="79" t="s">
        <v>86</v>
      </c>
      <c r="C23" s="87">
        <v>0</v>
      </c>
      <c r="D23" s="87">
        <v>0</v>
      </c>
      <c r="E23" s="87">
        <v>0</v>
      </c>
      <c r="F23" s="87"/>
      <c r="G23" s="292"/>
      <c r="H23" s="72"/>
    </row>
    <row r="24" spans="1:8" ht="14.25" customHeight="1">
      <c r="A24" s="78">
        <v>17</v>
      </c>
      <c r="B24" s="79" t="s">
        <v>87</v>
      </c>
      <c r="C24" s="87">
        <v>0</v>
      </c>
      <c r="D24" s="87">
        <v>0</v>
      </c>
      <c r="E24" s="87">
        <v>0</v>
      </c>
      <c r="F24" s="87"/>
      <c r="G24" s="292"/>
      <c r="H24" s="72"/>
    </row>
    <row r="25" spans="1:8" ht="15" customHeight="1">
      <c r="A25" s="12"/>
      <c r="B25" s="12">
        <v>2025</v>
      </c>
      <c r="C25" s="94">
        <f>SUM(C8:C24)</f>
        <v>328.62</v>
      </c>
      <c r="D25" s="94">
        <f t="shared" ref="D25:F25" si="0">SUM(D8:D24)</f>
        <v>154.80000000000001</v>
      </c>
      <c r="E25" s="94">
        <f t="shared" si="0"/>
        <v>65.394999999999996</v>
      </c>
      <c r="F25" s="94">
        <f t="shared" si="0"/>
        <v>0.91805460750853241</v>
      </c>
      <c r="G25" s="72"/>
      <c r="H25" s="72"/>
    </row>
    <row r="26" spans="1:8" ht="14.25" customHeight="1">
      <c r="A26" s="12"/>
      <c r="B26" s="12">
        <f t="shared" ref="B26:B29" si="1">B25-1</f>
        <v>2024</v>
      </c>
      <c r="C26" s="206">
        <v>326.5</v>
      </c>
      <c r="D26" s="209">
        <v>66.5</v>
      </c>
      <c r="E26" s="210">
        <v>14.86</v>
      </c>
      <c r="F26" s="207">
        <v>0.22345864661654136</v>
      </c>
      <c r="G26" s="72"/>
      <c r="H26" s="95"/>
    </row>
    <row r="27" spans="1:8" ht="14.25" customHeight="1">
      <c r="A27" s="12"/>
      <c r="B27" s="12">
        <f t="shared" si="1"/>
        <v>2023</v>
      </c>
      <c r="C27" s="206">
        <v>336.12</v>
      </c>
      <c r="D27" s="209">
        <v>56.5</v>
      </c>
      <c r="E27" s="210">
        <v>21.587</v>
      </c>
      <c r="F27" s="207">
        <v>0.44</v>
      </c>
      <c r="G27" s="72"/>
      <c r="H27" s="72"/>
    </row>
    <row r="28" spans="1:8" ht="14.25" customHeight="1">
      <c r="A28" s="12"/>
      <c r="B28" s="12">
        <f t="shared" si="1"/>
        <v>2022</v>
      </c>
      <c r="C28" s="208">
        <v>313</v>
      </c>
      <c r="D28" s="211">
        <v>55.1</v>
      </c>
      <c r="E28" s="212">
        <v>35.9</v>
      </c>
      <c r="F28" s="207">
        <v>0.65</v>
      </c>
      <c r="G28" s="72"/>
      <c r="H28" s="72"/>
    </row>
    <row r="29" spans="1:8" ht="14.25" customHeight="1">
      <c r="A29" s="12"/>
      <c r="B29" s="12">
        <f t="shared" si="1"/>
        <v>2021</v>
      </c>
      <c r="C29" s="92"/>
      <c r="D29" s="96"/>
      <c r="E29" s="97"/>
      <c r="F29" s="81"/>
      <c r="G29" s="72"/>
      <c r="H29" s="72"/>
    </row>
    <row r="30" spans="1:8" ht="14.25" customHeight="1">
      <c r="A30" s="420"/>
      <c r="B30" s="421"/>
      <c r="C30" s="92"/>
      <c r="D30" s="96"/>
      <c r="E30" s="97"/>
      <c r="F30" s="81"/>
      <c r="G30" s="72"/>
      <c r="H30" s="72"/>
    </row>
    <row r="31" spans="1:8" ht="14.25" customHeight="1">
      <c r="A31" s="72"/>
      <c r="B31" s="72"/>
      <c r="C31" s="72"/>
      <c r="D31" s="72"/>
      <c r="E31" s="72"/>
      <c r="F31" s="72"/>
      <c r="G31" s="72"/>
      <c r="H31" s="72"/>
    </row>
    <row r="32" spans="1:8" ht="14.25" customHeight="1">
      <c r="A32" s="422" t="s">
        <v>27</v>
      </c>
      <c r="B32" s="423"/>
      <c r="C32" s="423"/>
      <c r="D32" s="423"/>
      <c r="E32" s="423"/>
      <c r="F32" s="423"/>
      <c r="G32" s="423"/>
      <c r="H32" s="42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000"/>
  <sheetViews>
    <sheetView workbookViewId="0">
      <selection activeCell="E8" sqref="E8"/>
    </sheetView>
  </sheetViews>
  <sheetFormatPr defaultColWidth="14.42578125" defaultRowHeight="15" customHeight="1"/>
  <cols>
    <col min="1" max="1" width="4.7109375" customWidth="1"/>
    <col min="2" max="2" width="21.7109375" customWidth="1"/>
    <col min="3" max="4" width="8.7109375" customWidth="1"/>
    <col min="5" max="5" width="11.5703125" bestFit="1" customWidth="1"/>
    <col min="6" max="26" width="8.7109375" customWidth="1"/>
  </cols>
  <sheetData>
    <row r="1" spans="1:9" ht="14.25" customHeight="1">
      <c r="A1" s="424" t="s">
        <v>0</v>
      </c>
      <c r="B1" s="423"/>
      <c r="C1" s="423"/>
      <c r="D1" s="423"/>
      <c r="E1" s="423"/>
      <c r="F1" s="423"/>
      <c r="G1" s="423"/>
      <c r="H1" s="72"/>
    </row>
    <row r="2" spans="1:9" ht="14.25" customHeight="1">
      <c r="A2" s="424" t="s">
        <v>92</v>
      </c>
      <c r="B2" s="423"/>
      <c r="C2" s="423"/>
      <c r="D2" s="423"/>
      <c r="E2" s="423"/>
      <c r="F2" s="423"/>
      <c r="G2" s="423"/>
      <c r="H2" s="72"/>
    </row>
    <row r="3" spans="1:9" ht="14.25" customHeight="1">
      <c r="A3" s="424" t="s">
        <v>62</v>
      </c>
      <c r="B3" s="423"/>
      <c r="C3" s="423"/>
      <c r="D3" s="423"/>
      <c r="E3" s="423"/>
      <c r="F3" s="423"/>
      <c r="G3" s="423"/>
      <c r="H3" s="72"/>
    </row>
    <row r="4" spans="1:9" ht="14.25" customHeight="1">
      <c r="A4" s="73"/>
      <c r="B4" s="73"/>
      <c r="C4" s="73"/>
      <c r="D4" s="73"/>
      <c r="E4" s="73"/>
      <c r="F4" s="73"/>
      <c r="G4" s="74"/>
      <c r="H4" s="72"/>
    </row>
    <row r="5" spans="1:9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  <c r="G5" s="72"/>
      <c r="H5" s="72"/>
    </row>
    <row r="6" spans="1:9" ht="44.25" customHeight="1">
      <c r="A6" s="409"/>
      <c r="B6" s="409"/>
      <c r="C6" s="75" t="s">
        <v>67</v>
      </c>
      <c r="D6" s="75" t="s">
        <v>68</v>
      </c>
      <c r="E6" s="75" t="s">
        <v>4</v>
      </c>
      <c r="F6" s="75" t="s">
        <v>70</v>
      </c>
      <c r="G6" s="72"/>
      <c r="H6" s="72"/>
    </row>
    <row r="7" spans="1:9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  <c r="G7" s="288"/>
      <c r="H7" s="72"/>
    </row>
    <row r="8" spans="1:9" ht="14.25" customHeight="1">
      <c r="A8" s="78">
        <v>1</v>
      </c>
      <c r="B8" s="79" t="s">
        <v>71</v>
      </c>
      <c r="C8" s="98">
        <v>160</v>
      </c>
      <c r="D8" s="98">
        <v>138</v>
      </c>
      <c r="E8" s="284">
        <v>27.4</v>
      </c>
      <c r="F8" s="285">
        <f t="shared" ref="F8:F13" si="0">E8/D8</f>
        <v>0.19855072463768114</v>
      </c>
      <c r="G8" s="72"/>
      <c r="H8" s="296"/>
      <c r="I8" s="294"/>
    </row>
    <row r="9" spans="1:9" ht="14.25" customHeight="1">
      <c r="A9" s="78">
        <v>2</v>
      </c>
      <c r="B9" s="79" t="s">
        <v>72</v>
      </c>
      <c r="C9" s="98">
        <v>140</v>
      </c>
      <c r="D9" s="98">
        <v>54</v>
      </c>
      <c r="E9" s="284">
        <v>22.655000000000001</v>
      </c>
      <c r="F9" s="285">
        <f t="shared" si="0"/>
        <v>0.41953703703703704</v>
      </c>
      <c r="G9" s="72"/>
      <c r="H9" s="296"/>
      <c r="I9" s="294"/>
    </row>
    <row r="10" spans="1:9" ht="14.25" customHeight="1">
      <c r="A10" s="78">
        <v>3</v>
      </c>
      <c r="B10" s="79" t="s">
        <v>73</v>
      </c>
      <c r="C10" s="98">
        <v>14</v>
      </c>
      <c r="D10" s="98">
        <v>14</v>
      </c>
      <c r="E10" s="284">
        <v>7.476</v>
      </c>
      <c r="F10" s="285">
        <f t="shared" si="0"/>
        <v>0.53400000000000003</v>
      </c>
      <c r="G10" s="72"/>
      <c r="H10" s="296"/>
      <c r="I10" s="294"/>
    </row>
    <row r="11" spans="1:9" ht="14.25" customHeight="1">
      <c r="A11" s="78">
        <v>4</v>
      </c>
      <c r="B11" s="79" t="s">
        <v>74</v>
      </c>
      <c r="C11" s="98">
        <v>118.64999999999999</v>
      </c>
      <c r="D11" s="98">
        <v>30</v>
      </c>
      <c r="E11" s="284">
        <v>11.25</v>
      </c>
      <c r="F11" s="285">
        <f t="shared" si="0"/>
        <v>0.375</v>
      </c>
      <c r="G11" s="72"/>
      <c r="H11" s="296"/>
      <c r="I11" s="294"/>
    </row>
    <row r="12" spans="1:9" ht="14.25" customHeight="1">
      <c r="A12" s="78">
        <v>5</v>
      </c>
      <c r="B12" s="79" t="s">
        <v>75</v>
      </c>
      <c r="C12" s="98">
        <v>77.7</v>
      </c>
      <c r="D12" s="98">
        <v>12.2</v>
      </c>
      <c r="E12" s="284">
        <v>2.6909999999999998</v>
      </c>
      <c r="F12" s="285">
        <f t="shared" si="0"/>
        <v>0.22057377049180327</v>
      </c>
      <c r="G12" s="72"/>
      <c r="H12" s="296"/>
      <c r="I12" s="294"/>
    </row>
    <row r="13" spans="1:9" ht="14.25" customHeight="1">
      <c r="A13" s="78">
        <v>6</v>
      </c>
      <c r="B13" s="79" t="s">
        <v>76</v>
      </c>
      <c r="C13" s="98">
        <v>63</v>
      </c>
      <c r="D13" s="98">
        <v>50</v>
      </c>
      <c r="E13" s="284">
        <v>5.25</v>
      </c>
      <c r="F13" s="285">
        <f t="shared" si="0"/>
        <v>0.105</v>
      </c>
      <c r="G13" s="72"/>
      <c r="H13" s="296"/>
      <c r="I13" s="294"/>
    </row>
    <row r="14" spans="1:9" ht="14.25" customHeight="1">
      <c r="A14" s="78">
        <v>7</v>
      </c>
      <c r="B14" s="79" t="s">
        <v>77</v>
      </c>
      <c r="C14" s="98"/>
      <c r="D14" s="98"/>
      <c r="E14" s="284"/>
      <c r="F14" s="88"/>
      <c r="G14" s="72"/>
      <c r="H14" s="295"/>
      <c r="I14" s="294"/>
    </row>
    <row r="15" spans="1:9" ht="14.25" customHeight="1">
      <c r="A15" s="78">
        <v>8</v>
      </c>
      <c r="B15" s="79" t="s">
        <v>78</v>
      </c>
      <c r="C15" s="98"/>
      <c r="D15" s="98"/>
      <c r="E15" s="284"/>
      <c r="F15" s="88"/>
      <c r="G15" s="72"/>
      <c r="H15" s="295"/>
      <c r="I15" s="294"/>
    </row>
    <row r="16" spans="1:9" ht="14.25" customHeight="1">
      <c r="A16" s="78">
        <v>9</v>
      </c>
      <c r="B16" s="79" t="s">
        <v>79</v>
      </c>
      <c r="C16" s="98">
        <v>5</v>
      </c>
      <c r="D16" s="98">
        <v>4.5</v>
      </c>
      <c r="E16" s="284">
        <v>0.5625</v>
      </c>
      <c r="F16" s="285">
        <f>E16/D16</f>
        <v>0.125</v>
      </c>
      <c r="G16" s="72"/>
      <c r="H16" s="296"/>
      <c r="I16" s="294"/>
    </row>
    <row r="17" spans="1:9" ht="14.25" customHeight="1">
      <c r="A17" s="78">
        <v>10</v>
      </c>
      <c r="B17" s="79" t="s">
        <v>80</v>
      </c>
      <c r="C17" s="98"/>
      <c r="D17" s="98"/>
      <c r="E17" s="98"/>
      <c r="F17" s="88"/>
      <c r="G17" s="72"/>
      <c r="H17" s="295"/>
      <c r="I17" s="294"/>
    </row>
    <row r="18" spans="1:9" ht="14.25" customHeight="1">
      <c r="A18" s="78">
        <v>11</v>
      </c>
      <c r="B18" s="79" t="s">
        <v>81</v>
      </c>
      <c r="C18" s="98"/>
      <c r="D18" s="98"/>
      <c r="E18" s="98"/>
      <c r="F18" s="88"/>
      <c r="G18" s="72"/>
      <c r="H18" s="295"/>
      <c r="I18" s="294"/>
    </row>
    <row r="19" spans="1:9" ht="14.25" customHeight="1">
      <c r="A19" s="78">
        <v>12</v>
      </c>
      <c r="B19" s="79" t="s">
        <v>82</v>
      </c>
      <c r="C19" s="98"/>
      <c r="D19" s="98"/>
      <c r="E19" s="98"/>
      <c r="F19" s="88"/>
      <c r="G19" s="72"/>
      <c r="H19" s="295"/>
      <c r="I19" s="294"/>
    </row>
    <row r="20" spans="1:9" ht="14.25" customHeight="1">
      <c r="A20" s="78">
        <v>13</v>
      </c>
      <c r="B20" s="79" t="s">
        <v>83</v>
      </c>
      <c r="C20" s="98"/>
      <c r="D20" s="98"/>
      <c r="E20" s="98"/>
      <c r="F20" s="88"/>
      <c r="G20" s="72"/>
      <c r="H20" s="295"/>
      <c r="I20" s="294"/>
    </row>
    <row r="21" spans="1:9" ht="14.25" customHeight="1">
      <c r="A21" s="78">
        <v>14</v>
      </c>
      <c r="B21" s="79" t="s">
        <v>84</v>
      </c>
      <c r="C21" s="98"/>
      <c r="D21" s="98"/>
      <c r="E21" s="98"/>
      <c r="F21" s="88"/>
      <c r="G21" s="72"/>
      <c r="H21" s="295"/>
      <c r="I21" s="294"/>
    </row>
    <row r="22" spans="1:9" ht="14.25" customHeight="1">
      <c r="A22" s="78">
        <v>15</v>
      </c>
      <c r="B22" s="79" t="s">
        <v>85</v>
      </c>
      <c r="C22" s="98"/>
      <c r="D22" s="98"/>
      <c r="E22" s="98"/>
      <c r="F22" s="88"/>
      <c r="G22" s="72"/>
      <c r="H22" s="295"/>
      <c r="I22" s="294"/>
    </row>
    <row r="23" spans="1:9" ht="14.25" customHeight="1">
      <c r="A23" s="78">
        <v>16</v>
      </c>
      <c r="B23" s="79" t="s">
        <v>86</v>
      </c>
      <c r="C23" s="98"/>
      <c r="D23" s="98"/>
      <c r="E23" s="98"/>
      <c r="F23" s="88"/>
      <c r="G23" s="72"/>
      <c r="H23" s="295"/>
      <c r="I23" s="294"/>
    </row>
    <row r="24" spans="1:9" ht="14.25" customHeight="1">
      <c r="A24" s="78">
        <v>17</v>
      </c>
      <c r="B24" s="79" t="s">
        <v>87</v>
      </c>
      <c r="C24" s="98"/>
      <c r="D24" s="98"/>
      <c r="E24" s="98"/>
      <c r="F24" s="88"/>
      <c r="G24" s="72"/>
      <c r="H24" s="295"/>
      <c r="I24" s="294"/>
    </row>
    <row r="25" spans="1:9" ht="15" customHeight="1">
      <c r="A25" s="12"/>
      <c r="B25" s="12">
        <v>2025</v>
      </c>
      <c r="C25" s="99">
        <f>SUM(C8:C24)</f>
        <v>578.34999999999991</v>
      </c>
      <c r="D25" s="99">
        <f>SUM(D8:D24)</f>
        <v>302.7</v>
      </c>
      <c r="E25" s="286">
        <f>SUM(E8:E24)</f>
        <v>77.284500000000008</v>
      </c>
      <c r="F25" s="286">
        <f>SUM(F8:F24)</f>
        <v>1.9776615321665214</v>
      </c>
      <c r="G25" s="100"/>
      <c r="H25" s="100"/>
    </row>
    <row r="26" spans="1:9" ht="14.25" customHeight="1">
      <c r="A26" s="12"/>
      <c r="B26" s="12">
        <f t="shared" ref="B26:B29" si="1">B25-1</f>
        <v>2024</v>
      </c>
      <c r="C26" s="213">
        <v>577</v>
      </c>
      <c r="D26" s="213">
        <v>342.5</v>
      </c>
      <c r="E26" s="213">
        <v>158.14200000000002</v>
      </c>
      <c r="F26" s="207">
        <v>0.46172846715328475</v>
      </c>
      <c r="G26" s="100"/>
      <c r="H26" s="100"/>
    </row>
    <row r="27" spans="1:9" ht="14.25" customHeight="1">
      <c r="A27" s="12"/>
      <c r="B27" s="12">
        <f t="shared" si="1"/>
        <v>2023</v>
      </c>
      <c r="C27" s="213">
        <v>577</v>
      </c>
      <c r="D27" s="213">
        <v>335.4</v>
      </c>
      <c r="E27" s="213">
        <v>135.011</v>
      </c>
      <c r="F27" s="207">
        <v>0.46054981144523566</v>
      </c>
      <c r="G27" s="72"/>
      <c r="H27" s="72"/>
    </row>
    <row r="28" spans="1:9" ht="14.25" customHeight="1">
      <c r="A28" s="12"/>
      <c r="B28" s="12">
        <f t="shared" si="1"/>
        <v>2022</v>
      </c>
      <c r="C28" s="214">
        <v>580.1</v>
      </c>
      <c r="D28" s="214">
        <v>343.5</v>
      </c>
      <c r="E28" s="214">
        <v>127.59</v>
      </c>
      <c r="F28" s="207">
        <v>0.37</v>
      </c>
      <c r="G28" s="72"/>
      <c r="H28" s="72"/>
    </row>
    <row r="29" spans="1:9" ht="14.25" customHeight="1">
      <c r="A29" s="12"/>
      <c r="B29" s="12">
        <f t="shared" si="1"/>
        <v>2021</v>
      </c>
      <c r="C29" s="101"/>
      <c r="D29" s="101"/>
      <c r="E29" s="101"/>
      <c r="F29" s="81"/>
      <c r="G29" s="72"/>
      <c r="H29" s="72"/>
    </row>
    <row r="30" spans="1:9" ht="14.25" customHeight="1">
      <c r="A30" s="420"/>
      <c r="B30" s="421"/>
      <c r="C30" s="101"/>
      <c r="D30" s="101"/>
      <c r="E30" s="101"/>
      <c r="F30" s="101"/>
      <c r="G30" s="72"/>
      <c r="H30" s="72"/>
    </row>
    <row r="31" spans="1:9" ht="14.25" customHeight="1"/>
    <row r="32" spans="1:9" ht="14.25" customHeight="1">
      <c r="A32" s="410" t="s">
        <v>27</v>
      </c>
      <c r="B32" s="411"/>
      <c r="C32" s="411"/>
      <c r="D32" s="411"/>
      <c r="E32" s="411"/>
      <c r="F32" s="411"/>
      <c r="G32" s="411"/>
      <c r="H32" s="411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000"/>
  <sheetViews>
    <sheetView topLeftCell="A4" workbookViewId="0">
      <selection activeCell="M20" sqref="M20"/>
    </sheetView>
  </sheetViews>
  <sheetFormatPr defaultColWidth="14.42578125" defaultRowHeight="15" customHeight="1"/>
  <cols>
    <col min="1" max="1" width="4.7109375" customWidth="1"/>
    <col min="2" max="2" width="21.5703125" customWidth="1"/>
    <col min="3" max="4" width="8.7109375" customWidth="1"/>
    <col min="5" max="5" width="10.85546875" customWidth="1"/>
    <col min="6" max="26" width="8.7109375" customWidth="1"/>
  </cols>
  <sheetData>
    <row r="1" spans="1:8" ht="14.25" customHeight="1">
      <c r="A1" s="424" t="s">
        <v>0</v>
      </c>
      <c r="B1" s="423"/>
      <c r="C1" s="423"/>
      <c r="D1" s="423"/>
      <c r="E1" s="423"/>
      <c r="F1" s="423"/>
      <c r="G1" s="423"/>
      <c r="H1" s="72"/>
    </row>
    <row r="2" spans="1:8" ht="14.25" customHeight="1">
      <c r="A2" s="424" t="s">
        <v>93</v>
      </c>
      <c r="B2" s="423"/>
      <c r="C2" s="423"/>
      <c r="D2" s="423"/>
      <c r="E2" s="423"/>
      <c r="F2" s="423"/>
      <c r="G2" s="423"/>
      <c r="H2" s="72"/>
    </row>
    <row r="3" spans="1:8" ht="14.25" customHeight="1">
      <c r="A3" s="424" t="s">
        <v>62</v>
      </c>
      <c r="B3" s="423"/>
      <c r="C3" s="423"/>
      <c r="D3" s="423"/>
      <c r="E3" s="423"/>
      <c r="F3" s="423"/>
      <c r="G3" s="423"/>
      <c r="H3" s="72"/>
    </row>
    <row r="4" spans="1:8" ht="14.25" customHeight="1">
      <c r="A4" s="73"/>
      <c r="B4" s="73"/>
      <c r="C4" s="73"/>
      <c r="D4" s="73"/>
      <c r="E4" s="73"/>
      <c r="F4" s="73"/>
      <c r="G4" s="74"/>
      <c r="H4" s="72"/>
    </row>
    <row r="5" spans="1:8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  <c r="G5" s="72"/>
      <c r="H5" s="72"/>
    </row>
    <row r="6" spans="1:8" ht="14.25" customHeight="1">
      <c r="A6" s="409"/>
      <c r="B6" s="409"/>
      <c r="C6" s="75" t="s">
        <v>67</v>
      </c>
      <c r="D6" s="75" t="s">
        <v>68</v>
      </c>
      <c r="E6" s="75" t="s">
        <v>4</v>
      </c>
      <c r="F6" s="75" t="s">
        <v>70</v>
      </c>
      <c r="G6" s="72"/>
      <c r="H6" s="72"/>
    </row>
    <row r="7" spans="1:8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  <c r="G7" s="72"/>
      <c r="H7" s="72"/>
    </row>
    <row r="8" spans="1:8" ht="14.25" customHeight="1">
      <c r="A8" s="78">
        <v>1</v>
      </c>
      <c r="B8" s="79" t="s">
        <v>71</v>
      </c>
      <c r="C8" s="88"/>
      <c r="D8" s="88"/>
      <c r="E8" s="88"/>
      <c r="F8" s="88"/>
      <c r="G8" s="72"/>
      <c r="H8" s="72"/>
    </row>
    <row r="9" spans="1:8" ht="14.25" customHeight="1">
      <c r="A9" s="78">
        <v>2</v>
      </c>
      <c r="B9" s="79" t="s">
        <v>72</v>
      </c>
      <c r="C9" s="88"/>
      <c r="D9" s="88"/>
      <c r="E9" s="88"/>
      <c r="F9" s="88"/>
      <c r="G9" s="72"/>
      <c r="H9" s="72"/>
    </row>
    <row r="10" spans="1:8" ht="14.25" customHeight="1">
      <c r="A10" s="78">
        <v>3</v>
      </c>
      <c r="B10" s="79" t="s">
        <v>73</v>
      </c>
      <c r="C10" s="88">
        <v>0.25</v>
      </c>
      <c r="D10" s="88">
        <v>0.25</v>
      </c>
      <c r="E10" s="88">
        <v>7.4999999999999997E-2</v>
      </c>
      <c r="F10" s="285">
        <f>E10/D10</f>
        <v>0.3</v>
      </c>
      <c r="G10" s="72"/>
      <c r="H10" s="82"/>
    </row>
    <row r="11" spans="1:8" ht="14.25" customHeight="1">
      <c r="A11" s="78">
        <v>4</v>
      </c>
      <c r="B11" s="79" t="s">
        <v>74</v>
      </c>
      <c r="C11" s="88">
        <v>5.9999999999999991</v>
      </c>
      <c r="D11" s="88">
        <v>2.25</v>
      </c>
      <c r="E11" s="88">
        <v>1.3725000000000001</v>
      </c>
      <c r="F11" s="285">
        <f>E11/D11</f>
        <v>0.61</v>
      </c>
      <c r="G11" s="72"/>
      <c r="H11" s="72"/>
    </row>
    <row r="12" spans="1:8" ht="14.25" customHeight="1">
      <c r="A12" s="78">
        <v>5</v>
      </c>
      <c r="B12" s="79" t="s">
        <v>75</v>
      </c>
      <c r="C12" s="88"/>
      <c r="D12" s="88"/>
      <c r="E12" s="88"/>
      <c r="F12" s="88"/>
      <c r="G12" s="72"/>
      <c r="H12" s="72"/>
    </row>
    <row r="13" spans="1:8" ht="14.25" customHeight="1">
      <c r="A13" s="78">
        <v>6</v>
      </c>
      <c r="B13" s="79" t="s">
        <v>76</v>
      </c>
      <c r="C13" s="88"/>
      <c r="D13" s="88"/>
      <c r="E13" s="88"/>
      <c r="F13" s="88"/>
      <c r="G13" s="72"/>
      <c r="H13" s="72"/>
    </row>
    <row r="14" spans="1:8" ht="14.25" customHeight="1">
      <c r="A14" s="78">
        <v>7</v>
      </c>
      <c r="B14" s="79" t="s">
        <v>77</v>
      </c>
      <c r="C14" s="88"/>
      <c r="D14" s="88"/>
      <c r="E14" s="88"/>
      <c r="F14" s="88"/>
      <c r="G14" s="72"/>
      <c r="H14" s="72"/>
    </row>
    <row r="15" spans="1:8" ht="14.25" customHeight="1">
      <c r="A15" s="78">
        <v>8</v>
      </c>
      <c r="B15" s="79" t="s">
        <v>78</v>
      </c>
      <c r="C15" s="88"/>
      <c r="D15" s="88"/>
      <c r="E15" s="88"/>
      <c r="F15" s="88"/>
      <c r="G15" s="72"/>
      <c r="H15" s="72"/>
    </row>
    <row r="16" spans="1:8" ht="14.25" customHeight="1">
      <c r="A16" s="78">
        <v>9</v>
      </c>
      <c r="B16" s="79" t="s">
        <v>79</v>
      </c>
      <c r="C16" s="88"/>
      <c r="D16" s="88"/>
      <c r="E16" s="88"/>
      <c r="F16" s="88"/>
      <c r="G16" s="72"/>
      <c r="H16" s="72"/>
    </row>
    <row r="17" spans="1:8" ht="14.25" customHeight="1">
      <c r="A17" s="78">
        <v>10</v>
      </c>
      <c r="B17" s="79" t="s">
        <v>80</v>
      </c>
      <c r="C17" s="88"/>
      <c r="D17" s="88"/>
      <c r="E17" s="88"/>
      <c r="F17" s="88"/>
      <c r="G17" s="72"/>
      <c r="H17" s="72"/>
    </row>
    <row r="18" spans="1:8" ht="14.25" customHeight="1">
      <c r="A18" s="78">
        <v>11</v>
      </c>
      <c r="B18" s="79" t="s">
        <v>81</v>
      </c>
      <c r="C18" s="88"/>
      <c r="D18" s="88"/>
      <c r="E18" s="88"/>
      <c r="F18" s="88"/>
      <c r="G18" s="72"/>
      <c r="H18" s="72"/>
    </row>
    <row r="19" spans="1:8" ht="14.25" customHeight="1">
      <c r="A19" s="78">
        <v>12</v>
      </c>
      <c r="B19" s="79" t="s">
        <v>82</v>
      </c>
      <c r="C19" s="88"/>
      <c r="D19" s="88"/>
      <c r="E19" s="88"/>
      <c r="F19" s="88"/>
      <c r="G19" s="72"/>
      <c r="H19" s="72"/>
    </row>
    <row r="20" spans="1:8" ht="14.25" customHeight="1">
      <c r="A20" s="78">
        <v>13</v>
      </c>
      <c r="B20" s="79" t="s">
        <v>83</v>
      </c>
      <c r="C20" s="88"/>
      <c r="D20" s="88"/>
      <c r="E20" s="88"/>
      <c r="F20" s="88"/>
      <c r="G20" s="72"/>
      <c r="H20" s="72"/>
    </row>
    <row r="21" spans="1:8" ht="14.25" customHeight="1">
      <c r="A21" s="78">
        <v>14</v>
      </c>
      <c r="B21" s="79" t="s">
        <v>84</v>
      </c>
      <c r="C21" s="88"/>
      <c r="D21" s="88"/>
      <c r="E21" s="88"/>
      <c r="F21" s="88"/>
      <c r="G21" s="72"/>
      <c r="H21" s="72"/>
    </row>
    <row r="22" spans="1:8" ht="14.25" customHeight="1">
      <c r="A22" s="78">
        <v>15</v>
      </c>
      <c r="B22" s="79" t="s">
        <v>85</v>
      </c>
      <c r="C22" s="88"/>
      <c r="D22" s="88"/>
      <c r="E22" s="88"/>
      <c r="F22" s="88"/>
      <c r="G22" s="72"/>
      <c r="H22" s="72"/>
    </row>
    <row r="23" spans="1:8" ht="14.25" customHeight="1">
      <c r="A23" s="78">
        <v>16</v>
      </c>
      <c r="B23" s="79" t="s">
        <v>86</v>
      </c>
      <c r="C23" s="88"/>
      <c r="D23" s="88"/>
      <c r="E23" s="88"/>
      <c r="F23" s="88"/>
      <c r="G23" s="72"/>
      <c r="H23" s="72"/>
    </row>
    <row r="24" spans="1:8" ht="14.25" customHeight="1">
      <c r="A24" s="78">
        <v>17</v>
      </c>
      <c r="B24" s="79" t="s">
        <v>87</v>
      </c>
      <c r="C24" s="88"/>
      <c r="D24" s="88"/>
      <c r="E24" s="88"/>
      <c r="F24" s="88"/>
      <c r="G24" s="72"/>
      <c r="H24" s="72"/>
    </row>
    <row r="25" spans="1:8" ht="15" customHeight="1">
      <c r="A25" s="12"/>
      <c r="B25" s="12">
        <v>2025</v>
      </c>
      <c r="C25" s="297">
        <f>SUM(C8:C24)</f>
        <v>6.2499999999999991</v>
      </c>
      <c r="D25" s="297">
        <f t="shared" ref="D25:F25" si="0">SUM(D8:D24)</f>
        <v>2.5</v>
      </c>
      <c r="E25" s="297">
        <f t="shared" si="0"/>
        <v>1.4475</v>
      </c>
      <c r="F25" s="297">
        <f t="shared" si="0"/>
        <v>0.90999999999999992</v>
      </c>
      <c r="G25" s="72"/>
      <c r="H25" s="72"/>
    </row>
    <row r="26" spans="1:8" ht="14.25" customHeight="1">
      <c r="A26" s="12"/>
      <c r="B26" s="12">
        <f t="shared" ref="B26:B29" si="1">B25-1</f>
        <v>2024</v>
      </c>
      <c r="C26" s="215">
        <v>9.8999999999999986</v>
      </c>
      <c r="D26" s="215">
        <v>3.95</v>
      </c>
      <c r="E26" s="215">
        <v>1.48</v>
      </c>
      <c r="F26" s="209">
        <v>0.37468354430379747</v>
      </c>
      <c r="G26" s="72"/>
      <c r="H26" s="72"/>
    </row>
    <row r="27" spans="1:8" ht="14.25" customHeight="1">
      <c r="A27" s="12"/>
      <c r="B27" s="12">
        <f t="shared" si="1"/>
        <v>2023</v>
      </c>
      <c r="C27" s="205">
        <v>10.35</v>
      </c>
      <c r="D27" s="205">
        <v>4.2</v>
      </c>
      <c r="E27" s="205">
        <v>3.2834999999999996</v>
      </c>
      <c r="F27" s="209">
        <v>0.66</v>
      </c>
      <c r="G27" s="72"/>
      <c r="H27" s="72"/>
    </row>
    <row r="28" spans="1:8" ht="14.25" customHeight="1">
      <c r="A28" s="12"/>
      <c r="B28" s="12">
        <f t="shared" si="1"/>
        <v>2022</v>
      </c>
      <c r="C28" s="216">
        <v>10.35</v>
      </c>
      <c r="D28" s="216">
        <v>4.2</v>
      </c>
      <c r="E28" s="216">
        <v>3.1399999999999997</v>
      </c>
      <c r="F28" s="209">
        <v>0.75</v>
      </c>
      <c r="G28" s="72"/>
      <c r="H28" s="72"/>
    </row>
    <row r="29" spans="1:8" ht="14.25" customHeight="1">
      <c r="A29" s="12"/>
      <c r="B29" s="12">
        <f t="shared" si="1"/>
        <v>2021</v>
      </c>
      <c r="C29" s="86"/>
      <c r="D29" s="86"/>
      <c r="E29" s="86"/>
      <c r="F29" s="88"/>
      <c r="G29" s="72"/>
      <c r="H29" s="72"/>
    </row>
    <row r="30" spans="1:8" ht="14.25" customHeight="1">
      <c r="A30" s="420"/>
      <c r="B30" s="421"/>
      <c r="C30" s="86"/>
      <c r="D30" s="86"/>
      <c r="E30" s="86"/>
      <c r="F30" s="88"/>
      <c r="G30" s="72"/>
      <c r="H30" s="72"/>
    </row>
    <row r="31" spans="1:8" ht="14.25" customHeight="1">
      <c r="A31" s="72"/>
      <c r="B31" s="72"/>
      <c r="C31" s="72"/>
      <c r="D31" s="72"/>
      <c r="E31" s="72"/>
      <c r="F31" s="72"/>
      <c r="G31" s="72"/>
      <c r="H31" s="72"/>
    </row>
    <row r="32" spans="1:8" ht="14.25" customHeight="1">
      <c r="A32" s="422" t="s">
        <v>27</v>
      </c>
      <c r="B32" s="423"/>
      <c r="C32" s="423"/>
      <c r="D32" s="423"/>
      <c r="E32" s="423"/>
      <c r="F32" s="423"/>
      <c r="G32" s="423"/>
      <c r="H32" s="42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00"/>
  <sheetViews>
    <sheetView topLeftCell="A6" workbookViewId="0">
      <selection activeCell="G17" sqref="G17"/>
    </sheetView>
  </sheetViews>
  <sheetFormatPr defaultColWidth="14.42578125" defaultRowHeight="15" customHeight="1"/>
  <cols>
    <col min="1" max="1" width="4" customWidth="1"/>
    <col min="2" max="2" width="27.140625" customWidth="1"/>
    <col min="3" max="4" width="8.7109375" customWidth="1"/>
    <col min="5" max="5" width="11.5703125" customWidth="1"/>
    <col min="6" max="6" width="8.7109375" customWidth="1"/>
    <col min="7" max="7" width="13.140625" customWidth="1"/>
    <col min="8" max="26" width="8.7109375" customWidth="1"/>
  </cols>
  <sheetData>
    <row r="1" spans="1:7" ht="14.25" customHeight="1">
      <c r="A1" s="412" t="s">
        <v>0</v>
      </c>
      <c r="B1" s="411"/>
      <c r="C1" s="411"/>
      <c r="D1" s="411"/>
      <c r="E1" s="411"/>
      <c r="F1" s="411"/>
      <c r="G1" s="411"/>
    </row>
    <row r="2" spans="1:7" ht="14.25" customHeight="1">
      <c r="A2" s="412" t="s">
        <v>94</v>
      </c>
      <c r="B2" s="411"/>
      <c r="C2" s="411"/>
      <c r="D2" s="411"/>
      <c r="E2" s="411"/>
      <c r="F2" s="411"/>
      <c r="G2" s="411"/>
    </row>
    <row r="3" spans="1:7" ht="14.25" customHeight="1">
      <c r="A3" s="412" t="s">
        <v>62</v>
      </c>
      <c r="B3" s="411"/>
      <c r="C3" s="411"/>
      <c r="D3" s="411"/>
      <c r="E3" s="411"/>
      <c r="F3" s="411"/>
      <c r="G3" s="411"/>
    </row>
    <row r="4" spans="1:7" ht="14.25" customHeight="1">
      <c r="A4" s="16"/>
      <c r="B4" s="16"/>
      <c r="C4" s="16"/>
      <c r="D4" s="16"/>
      <c r="E4" s="16"/>
      <c r="F4" s="16"/>
      <c r="G4" s="17"/>
    </row>
    <row r="5" spans="1:7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</row>
    <row r="6" spans="1:7" ht="38.25" customHeight="1">
      <c r="A6" s="409"/>
      <c r="B6" s="409"/>
      <c r="C6" s="75" t="s">
        <v>67</v>
      </c>
      <c r="D6" s="75" t="s">
        <v>68</v>
      </c>
      <c r="E6" s="75" t="s">
        <v>69</v>
      </c>
      <c r="F6" s="75" t="s">
        <v>70</v>
      </c>
      <c r="G6" s="299"/>
    </row>
    <row r="7" spans="1:7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  <c r="G7" s="299"/>
    </row>
    <row r="8" spans="1:7" ht="14.25" customHeight="1">
      <c r="A8" s="102">
        <v>1</v>
      </c>
      <c r="B8" s="103" t="s">
        <v>71</v>
      </c>
      <c r="C8" s="104">
        <v>978</v>
      </c>
      <c r="D8" s="104">
        <v>755</v>
      </c>
      <c r="E8" s="104">
        <v>755</v>
      </c>
      <c r="F8" s="285">
        <f>E8/D8</f>
        <v>1</v>
      </c>
    </row>
    <row r="9" spans="1:7" ht="14.25" customHeight="1">
      <c r="A9" s="102">
        <v>2</v>
      </c>
      <c r="B9" s="103" t="s">
        <v>72</v>
      </c>
      <c r="C9" s="104">
        <v>440</v>
      </c>
      <c r="D9" s="104">
        <v>35</v>
      </c>
      <c r="E9" s="104">
        <v>24.035</v>
      </c>
      <c r="F9" s="285">
        <f t="shared" ref="F9:F16" si="0">E9/D9</f>
        <v>0.68671428571428572</v>
      </c>
    </row>
    <row r="10" spans="1:7" ht="14.25" customHeight="1">
      <c r="A10" s="102">
        <v>3</v>
      </c>
      <c r="B10" s="103" t="s">
        <v>73</v>
      </c>
      <c r="C10" s="104"/>
      <c r="D10" s="104"/>
      <c r="E10" s="104"/>
      <c r="F10" s="285"/>
    </row>
    <row r="11" spans="1:7" ht="14.25" customHeight="1">
      <c r="A11" s="102">
        <v>4</v>
      </c>
      <c r="B11" s="103" t="s">
        <v>74</v>
      </c>
      <c r="C11" s="104">
        <v>17.62</v>
      </c>
      <c r="D11" s="104">
        <v>8.15</v>
      </c>
      <c r="E11" s="104">
        <v>7.9870000000000001</v>
      </c>
      <c r="F11" s="285">
        <f t="shared" si="0"/>
        <v>0.98</v>
      </c>
    </row>
    <row r="12" spans="1:7" ht="14.25" customHeight="1">
      <c r="A12" s="102">
        <v>5</v>
      </c>
      <c r="B12" s="103" t="s">
        <v>75</v>
      </c>
      <c r="C12" s="104">
        <v>2.5</v>
      </c>
      <c r="D12" s="104">
        <v>2.5</v>
      </c>
      <c r="E12" s="104">
        <v>0.92800000000000005</v>
      </c>
      <c r="F12" s="285">
        <f t="shared" si="0"/>
        <v>0.37120000000000003</v>
      </c>
    </row>
    <row r="13" spans="1:7" ht="14.25" customHeight="1">
      <c r="A13" s="102">
        <v>6</v>
      </c>
      <c r="B13" s="103" t="s">
        <v>76</v>
      </c>
      <c r="C13" s="104"/>
      <c r="D13" s="104"/>
      <c r="E13" s="104"/>
      <c r="F13" s="285"/>
    </row>
    <row r="14" spans="1:7" ht="14.25" customHeight="1">
      <c r="A14" s="102">
        <v>7</v>
      </c>
      <c r="B14" s="103" t="s">
        <v>77</v>
      </c>
      <c r="C14" s="104"/>
      <c r="D14" s="104"/>
      <c r="E14" s="104"/>
      <c r="F14" s="285"/>
    </row>
    <row r="15" spans="1:7" ht="14.25" customHeight="1">
      <c r="A15" s="102">
        <v>8</v>
      </c>
      <c r="B15" s="103" t="s">
        <v>78</v>
      </c>
      <c r="C15" s="104"/>
      <c r="D15" s="104"/>
      <c r="E15" s="104"/>
      <c r="F15" s="285"/>
    </row>
    <row r="16" spans="1:7" ht="14.25" customHeight="1">
      <c r="A16" s="102">
        <v>9</v>
      </c>
      <c r="B16" s="103" t="s">
        <v>79</v>
      </c>
      <c r="C16" s="104">
        <v>7.5</v>
      </c>
      <c r="D16" s="104">
        <v>7.5</v>
      </c>
      <c r="E16" s="104">
        <v>4.3499999999999996</v>
      </c>
      <c r="F16" s="285">
        <f t="shared" si="0"/>
        <v>0.57999999999999996</v>
      </c>
    </row>
    <row r="17" spans="1:8" ht="14.25" customHeight="1">
      <c r="A17" s="102">
        <v>10</v>
      </c>
      <c r="B17" s="103" t="s">
        <v>80</v>
      </c>
      <c r="C17" s="104"/>
      <c r="D17" s="104"/>
      <c r="E17" s="104"/>
      <c r="F17" s="104"/>
    </row>
    <row r="18" spans="1:8" ht="14.25" customHeight="1">
      <c r="A18" s="102">
        <v>11</v>
      </c>
      <c r="B18" s="103" t="s">
        <v>81</v>
      </c>
      <c r="C18" s="104"/>
      <c r="D18" s="104"/>
      <c r="E18" s="104"/>
      <c r="F18" s="104"/>
    </row>
    <row r="19" spans="1:8" ht="14.25" customHeight="1">
      <c r="A19" s="102">
        <v>12</v>
      </c>
      <c r="B19" s="103" t="s">
        <v>82</v>
      </c>
      <c r="C19" s="104"/>
      <c r="D19" s="104"/>
      <c r="E19" s="104"/>
      <c r="F19" s="104"/>
    </row>
    <row r="20" spans="1:8" ht="14.25" customHeight="1">
      <c r="A20" s="102">
        <v>13</v>
      </c>
      <c r="B20" s="103" t="s">
        <v>83</v>
      </c>
      <c r="C20" s="104"/>
      <c r="D20" s="104"/>
      <c r="E20" s="104"/>
      <c r="F20" s="104"/>
    </row>
    <row r="21" spans="1:8" ht="14.25" customHeight="1">
      <c r="A21" s="102">
        <v>14</v>
      </c>
      <c r="B21" s="103" t="s">
        <v>84</v>
      </c>
      <c r="C21" s="104"/>
      <c r="D21" s="104"/>
      <c r="E21" s="104"/>
      <c r="F21" s="104"/>
    </row>
    <row r="22" spans="1:8" ht="14.25" customHeight="1">
      <c r="A22" s="102">
        <v>15</v>
      </c>
      <c r="B22" s="103" t="s">
        <v>85</v>
      </c>
      <c r="C22" s="104"/>
      <c r="D22" s="104"/>
      <c r="E22" s="104"/>
      <c r="F22" s="104"/>
    </row>
    <row r="23" spans="1:8" ht="14.25" customHeight="1">
      <c r="A23" s="102">
        <v>16</v>
      </c>
      <c r="B23" s="103" t="s">
        <v>86</v>
      </c>
      <c r="C23" s="104"/>
      <c r="D23" s="104"/>
      <c r="E23" s="104"/>
      <c r="F23" s="104"/>
    </row>
    <row r="24" spans="1:8" ht="14.25" customHeight="1">
      <c r="A24" s="102">
        <v>17</v>
      </c>
      <c r="B24" s="103" t="s">
        <v>87</v>
      </c>
      <c r="C24" s="104"/>
      <c r="D24" s="104"/>
      <c r="E24" s="104"/>
      <c r="F24" s="104"/>
    </row>
    <row r="25" spans="1:8" ht="15" customHeight="1">
      <c r="A25" s="12"/>
      <c r="B25" s="12">
        <v>2025</v>
      </c>
      <c r="C25" s="105">
        <f>SUM(C8:C24)</f>
        <v>1445.62</v>
      </c>
      <c r="D25" s="105">
        <f t="shared" ref="D25:F25" si="1">SUM(D8:D24)</f>
        <v>808.15</v>
      </c>
      <c r="E25" s="105">
        <f t="shared" si="1"/>
        <v>792.3</v>
      </c>
      <c r="F25" s="105">
        <f t="shared" si="1"/>
        <v>3.6179142857142859</v>
      </c>
      <c r="H25" s="106"/>
    </row>
    <row r="26" spans="1:8" ht="14.25" customHeight="1">
      <c r="A26" s="12"/>
      <c r="B26" s="12">
        <f t="shared" ref="B26:B29" si="2">B25-1</f>
        <v>2024</v>
      </c>
      <c r="C26" s="217">
        <v>27.75</v>
      </c>
      <c r="D26" s="217">
        <v>16.350000000000001</v>
      </c>
      <c r="E26" s="218">
        <v>18.157500000000002</v>
      </c>
      <c r="F26" s="209">
        <v>1.1105504587155963</v>
      </c>
      <c r="H26" s="106"/>
    </row>
    <row r="27" spans="1:8" ht="14.25" customHeight="1">
      <c r="A27" s="12"/>
      <c r="B27" s="12">
        <f t="shared" si="2"/>
        <v>2023</v>
      </c>
      <c r="C27" s="206">
        <v>28.75</v>
      </c>
      <c r="D27" s="206">
        <v>16.350000000000001</v>
      </c>
      <c r="E27" s="209">
        <v>11.445999999999998</v>
      </c>
      <c r="F27" s="209">
        <v>0.87439469320066332</v>
      </c>
      <c r="H27" s="106"/>
    </row>
    <row r="28" spans="1:8" ht="14.25" customHeight="1">
      <c r="A28" s="12"/>
      <c r="B28" s="12">
        <f t="shared" si="2"/>
        <v>2022</v>
      </c>
      <c r="C28" s="208">
        <v>29.02</v>
      </c>
      <c r="D28" s="208">
        <v>14.35</v>
      </c>
      <c r="E28" s="211">
        <v>13.719999999999999</v>
      </c>
      <c r="F28" s="209">
        <v>0.96</v>
      </c>
      <c r="H28" s="106"/>
    </row>
    <row r="29" spans="1:8" ht="14.25" customHeight="1">
      <c r="A29" s="12"/>
      <c r="B29" s="12">
        <f t="shared" si="2"/>
        <v>2021</v>
      </c>
      <c r="C29" s="92"/>
      <c r="D29" s="92"/>
      <c r="E29" s="96"/>
      <c r="F29" s="88"/>
      <c r="H29" s="106"/>
    </row>
    <row r="30" spans="1:8" ht="14.25" customHeight="1">
      <c r="A30" s="420"/>
      <c r="B30" s="421"/>
      <c r="C30" s="92"/>
      <c r="D30" s="92"/>
      <c r="E30" s="92"/>
      <c r="F30" s="92"/>
    </row>
    <row r="31" spans="1:8" ht="14.25" customHeight="1">
      <c r="C31" s="72"/>
      <c r="D31" s="72"/>
      <c r="E31" s="72"/>
      <c r="F31" s="72"/>
    </row>
    <row r="32" spans="1:8" ht="14.25" customHeight="1">
      <c r="A32" s="410" t="s">
        <v>27</v>
      </c>
      <c r="B32" s="411"/>
      <c r="C32" s="411"/>
      <c r="D32" s="411"/>
      <c r="E32" s="411"/>
      <c r="F32" s="411"/>
      <c r="G32" s="411"/>
      <c r="H32" s="411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000"/>
  <sheetViews>
    <sheetView workbookViewId="0">
      <selection activeCell="F25" sqref="F25"/>
    </sheetView>
  </sheetViews>
  <sheetFormatPr defaultColWidth="14.42578125" defaultRowHeight="15" customHeight="1"/>
  <cols>
    <col min="1" max="1" width="3.42578125" customWidth="1"/>
    <col min="2" max="2" width="24.28515625" customWidth="1"/>
    <col min="3" max="4" width="8.7109375" customWidth="1"/>
    <col min="5" max="5" width="10.85546875" customWidth="1"/>
    <col min="6" max="26" width="8.7109375" customWidth="1"/>
  </cols>
  <sheetData>
    <row r="1" spans="1:7" ht="14.25" customHeight="1">
      <c r="A1" s="412" t="s">
        <v>0</v>
      </c>
      <c r="B1" s="411"/>
      <c r="C1" s="411"/>
      <c r="D1" s="411"/>
      <c r="E1" s="411"/>
      <c r="F1" s="411"/>
      <c r="G1" s="411"/>
    </row>
    <row r="2" spans="1:7" ht="14.25" customHeight="1">
      <c r="A2" s="412" t="s">
        <v>95</v>
      </c>
      <c r="B2" s="411"/>
      <c r="C2" s="411"/>
      <c r="D2" s="411"/>
      <c r="E2" s="411"/>
      <c r="F2" s="411"/>
      <c r="G2" s="411"/>
    </row>
    <row r="3" spans="1:7" ht="14.25" customHeight="1">
      <c r="A3" s="412" t="s">
        <v>62</v>
      </c>
      <c r="B3" s="411"/>
      <c r="C3" s="411"/>
      <c r="D3" s="411"/>
      <c r="E3" s="411"/>
      <c r="F3" s="411"/>
      <c r="G3" s="411"/>
    </row>
    <row r="4" spans="1:7" ht="14.25" customHeight="1">
      <c r="A4" s="16"/>
      <c r="B4" s="16"/>
      <c r="C4" s="16"/>
      <c r="D4" s="16"/>
      <c r="E4" s="16"/>
      <c r="F4" s="16"/>
      <c r="G4" s="17"/>
    </row>
    <row r="5" spans="1:7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  <c r="G5" s="298"/>
    </row>
    <row r="6" spans="1:7" ht="43.5" customHeight="1">
      <c r="A6" s="409"/>
      <c r="B6" s="409"/>
      <c r="C6" s="75" t="s">
        <v>67</v>
      </c>
      <c r="D6" s="75" t="s">
        <v>68</v>
      </c>
      <c r="E6" s="75" t="s">
        <v>69</v>
      </c>
      <c r="F6" s="75" t="s">
        <v>70</v>
      </c>
    </row>
    <row r="7" spans="1:7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</row>
    <row r="8" spans="1:7" ht="14.25" customHeight="1">
      <c r="A8" s="102">
        <v>1</v>
      </c>
      <c r="B8" s="103" t="s">
        <v>71</v>
      </c>
      <c r="C8" s="107">
        <v>113</v>
      </c>
      <c r="D8" s="107">
        <v>55</v>
      </c>
      <c r="E8" s="107">
        <v>67.5</v>
      </c>
      <c r="F8" s="285">
        <f>E8/D8</f>
        <v>1.2272727272727273</v>
      </c>
    </row>
    <row r="9" spans="1:7" ht="14.25" customHeight="1">
      <c r="A9" s="102">
        <v>2</v>
      </c>
      <c r="B9" s="103" t="s">
        <v>72</v>
      </c>
      <c r="C9" s="107">
        <v>38</v>
      </c>
      <c r="D9" s="107">
        <v>8</v>
      </c>
      <c r="E9" s="107">
        <v>39.049999999999997</v>
      </c>
      <c r="F9" s="285">
        <f t="shared" ref="F9" si="0">E9/D9</f>
        <v>4.8812499999999996</v>
      </c>
    </row>
    <row r="10" spans="1:7" ht="14.25" customHeight="1">
      <c r="A10" s="102">
        <v>3</v>
      </c>
      <c r="B10" s="103" t="s">
        <v>73</v>
      </c>
      <c r="C10" s="107"/>
      <c r="D10" s="108"/>
      <c r="E10" s="108"/>
      <c r="F10" s="108"/>
    </row>
    <row r="11" spans="1:7" ht="14.25" customHeight="1">
      <c r="A11" s="102">
        <v>4</v>
      </c>
      <c r="B11" s="103" t="s">
        <v>74</v>
      </c>
      <c r="C11" s="107"/>
      <c r="D11" s="108"/>
      <c r="E11" s="108"/>
      <c r="F11" s="108"/>
    </row>
    <row r="12" spans="1:7" ht="14.25" customHeight="1">
      <c r="A12" s="102">
        <v>5</v>
      </c>
      <c r="B12" s="103" t="s">
        <v>75</v>
      </c>
      <c r="C12" s="107"/>
      <c r="D12" s="108"/>
      <c r="E12" s="108"/>
      <c r="F12" s="108"/>
    </row>
    <row r="13" spans="1:7" ht="14.25" customHeight="1">
      <c r="A13" s="102">
        <v>6</v>
      </c>
      <c r="B13" s="103" t="s">
        <v>76</v>
      </c>
      <c r="C13" s="107"/>
      <c r="D13" s="108"/>
      <c r="E13" s="108"/>
      <c r="F13" s="108"/>
    </row>
    <row r="14" spans="1:7" ht="14.25" customHeight="1">
      <c r="A14" s="102">
        <v>7</v>
      </c>
      <c r="B14" s="103" t="s">
        <v>77</v>
      </c>
      <c r="C14" s="107"/>
      <c r="D14" s="108"/>
      <c r="E14" s="108"/>
      <c r="F14" s="108"/>
    </row>
    <row r="15" spans="1:7" ht="14.25" customHeight="1">
      <c r="A15" s="102">
        <v>8</v>
      </c>
      <c r="B15" s="103" t="s">
        <v>78</v>
      </c>
      <c r="C15" s="107"/>
      <c r="D15" s="108"/>
      <c r="E15" s="108"/>
      <c r="F15" s="108"/>
    </row>
    <row r="16" spans="1:7" ht="14.25" customHeight="1">
      <c r="A16" s="102">
        <v>9</v>
      </c>
      <c r="B16" s="103" t="s">
        <v>79</v>
      </c>
      <c r="C16" s="41">
        <v>1.5</v>
      </c>
      <c r="D16" s="108">
        <v>0.5</v>
      </c>
      <c r="E16" s="108">
        <v>0.61</v>
      </c>
      <c r="F16" s="285">
        <f>E16/D16</f>
        <v>1.22</v>
      </c>
    </row>
    <row r="17" spans="1:8" ht="14.25" customHeight="1">
      <c r="A17" s="102">
        <v>10</v>
      </c>
      <c r="B17" s="103" t="s">
        <v>80</v>
      </c>
      <c r="C17" s="107"/>
      <c r="D17" s="108"/>
      <c r="E17" s="108"/>
      <c r="F17" s="108"/>
    </row>
    <row r="18" spans="1:8" ht="14.25" customHeight="1">
      <c r="A18" s="102">
        <v>11</v>
      </c>
      <c r="B18" s="103" t="s">
        <v>81</v>
      </c>
      <c r="C18" s="107"/>
      <c r="D18" s="108"/>
      <c r="E18" s="108"/>
      <c r="F18" s="108"/>
    </row>
    <row r="19" spans="1:8" ht="14.25" customHeight="1">
      <c r="A19" s="102">
        <v>12</v>
      </c>
      <c r="B19" s="103" t="s">
        <v>82</v>
      </c>
      <c r="C19" s="107"/>
      <c r="D19" s="108"/>
      <c r="E19" s="108"/>
      <c r="F19" s="108"/>
    </row>
    <row r="20" spans="1:8" ht="14.25" customHeight="1">
      <c r="A20" s="102">
        <v>13</v>
      </c>
      <c r="B20" s="103" t="s">
        <v>83</v>
      </c>
      <c r="C20" s="107"/>
      <c r="D20" s="108"/>
      <c r="E20" s="108"/>
      <c r="F20" s="108"/>
    </row>
    <row r="21" spans="1:8" ht="14.25" customHeight="1">
      <c r="A21" s="102">
        <v>14</v>
      </c>
      <c r="B21" s="103" t="s">
        <v>84</v>
      </c>
      <c r="C21" s="107"/>
      <c r="D21" s="108"/>
      <c r="E21" s="108"/>
      <c r="F21" s="108"/>
    </row>
    <row r="22" spans="1:8" ht="14.25" customHeight="1">
      <c r="A22" s="102">
        <v>15</v>
      </c>
      <c r="B22" s="103" t="s">
        <v>85</v>
      </c>
      <c r="C22" s="107"/>
      <c r="D22" s="108"/>
      <c r="E22" s="108"/>
      <c r="F22" s="108"/>
    </row>
    <row r="23" spans="1:8" ht="14.25" customHeight="1">
      <c r="A23" s="102">
        <v>16</v>
      </c>
      <c r="B23" s="103" t="s">
        <v>86</v>
      </c>
      <c r="C23" s="107"/>
      <c r="D23" s="108"/>
      <c r="E23" s="108"/>
      <c r="F23" s="108"/>
    </row>
    <row r="24" spans="1:8" ht="14.25" customHeight="1">
      <c r="A24" s="102">
        <v>17</v>
      </c>
      <c r="B24" s="103" t="s">
        <v>87</v>
      </c>
      <c r="C24" s="107"/>
      <c r="D24" s="108"/>
      <c r="E24" s="108"/>
      <c r="F24" s="108"/>
    </row>
    <row r="25" spans="1:8" ht="15" customHeight="1">
      <c r="A25" s="12"/>
      <c r="B25" s="12">
        <v>2025</v>
      </c>
      <c r="C25" s="109">
        <f>SUM(C8:C24)</f>
        <v>152.5</v>
      </c>
      <c r="D25" s="109">
        <f t="shared" ref="D25:F25" si="1">SUM(D8:D24)</f>
        <v>63.5</v>
      </c>
      <c r="E25" s="109">
        <f t="shared" si="1"/>
        <v>107.16</v>
      </c>
      <c r="F25" s="39">
        <f t="shared" si="1"/>
        <v>7.3285227272727269</v>
      </c>
    </row>
    <row r="26" spans="1:8" ht="14.25" customHeight="1">
      <c r="A26" s="12"/>
      <c r="B26" s="12">
        <f t="shared" ref="B26:B29" si="2">B25-1</f>
        <v>2024</v>
      </c>
      <c r="C26" s="219">
        <v>152.5</v>
      </c>
      <c r="D26" s="219">
        <v>63</v>
      </c>
      <c r="E26" s="219">
        <v>133.13</v>
      </c>
      <c r="F26" s="209">
        <v>2.113174603174603</v>
      </c>
    </row>
    <row r="27" spans="1:8" ht="14.25" customHeight="1">
      <c r="A27" s="12"/>
      <c r="B27" s="12">
        <f t="shared" si="2"/>
        <v>2023</v>
      </c>
      <c r="C27" s="219">
        <v>153</v>
      </c>
      <c r="D27" s="219">
        <v>63</v>
      </c>
      <c r="E27" s="219">
        <v>189.06</v>
      </c>
      <c r="F27" s="209">
        <v>3.67</v>
      </c>
    </row>
    <row r="28" spans="1:8" ht="14.25" customHeight="1">
      <c r="A28" s="12"/>
      <c r="B28" s="12">
        <f t="shared" si="2"/>
        <v>2022</v>
      </c>
      <c r="C28" s="220">
        <v>152</v>
      </c>
      <c r="D28" s="220">
        <v>68</v>
      </c>
      <c r="E28" s="220">
        <v>200.28</v>
      </c>
      <c r="F28" s="209">
        <v>2.95</v>
      </c>
    </row>
    <row r="29" spans="1:8" ht="14.25" customHeight="1">
      <c r="A29" s="12"/>
      <c r="B29" s="12">
        <f t="shared" si="2"/>
        <v>2021</v>
      </c>
      <c r="C29" s="110"/>
      <c r="D29" s="110"/>
      <c r="E29" s="110"/>
      <c r="F29" s="88"/>
    </row>
    <row r="30" spans="1:8" ht="14.25" customHeight="1">
      <c r="A30" s="420"/>
      <c r="B30" s="421"/>
      <c r="C30" s="111"/>
      <c r="D30" s="111"/>
      <c r="E30" s="111"/>
      <c r="F30" s="88"/>
    </row>
    <row r="31" spans="1:8" ht="14.25" customHeight="1"/>
    <row r="32" spans="1:8" ht="14.25" customHeight="1">
      <c r="A32" s="410" t="s">
        <v>27</v>
      </c>
      <c r="B32" s="411"/>
      <c r="C32" s="411"/>
      <c r="D32" s="411"/>
      <c r="E32" s="411"/>
      <c r="F32" s="411"/>
      <c r="G32" s="411"/>
      <c r="H32" s="411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topLeftCell="A4" workbookViewId="0">
      <selection activeCell="C21" sqref="C21"/>
    </sheetView>
  </sheetViews>
  <sheetFormatPr defaultColWidth="14.42578125" defaultRowHeight="15" customHeight="1"/>
  <cols>
    <col min="1" max="1" width="22.85546875" customWidth="1"/>
    <col min="2" max="2" width="17" customWidth="1"/>
    <col min="3" max="3" width="18" customWidth="1"/>
    <col min="4" max="4" width="17.140625" customWidth="1"/>
    <col min="5" max="5" width="18.42578125" customWidth="1"/>
    <col min="6" max="6" width="24.7109375" customWidth="1"/>
    <col min="7" max="7" width="17" customWidth="1"/>
    <col min="8" max="8" width="13" customWidth="1"/>
    <col min="9" max="9" width="11.140625" customWidth="1"/>
    <col min="10" max="10" width="12.5703125" customWidth="1"/>
    <col min="11" max="11" width="14" customWidth="1"/>
    <col min="12" max="12" width="11" customWidth="1"/>
    <col min="13" max="13" width="11.5703125" customWidth="1"/>
    <col min="14" max="26" width="8.7109375" customWidth="1"/>
  </cols>
  <sheetData>
    <row r="1" spans="1:13" ht="14.25" customHeight="1">
      <c r="A1" s="412" t="s">
        <v>0</v>
      </c>
      <c r="B1" s="411"/>
      <c r="C1" s="411"/>
      <c r="D1" s="411"/>
      <c r="E1" s="411"/>
      <c r="F1" s="411"/>
      <c r="G1" s="411"/>
      <c r="H1" s="411"/>
    </row>
    <row r="2" spans="1:13" ht="14.25" customHeight="1">
      <c r="A2" s="412" t="s">
        <v>28</v>
      </c>
      <c r="B2" s="411"/>
      <c r="C2" s="411"/>
      <c r="D2" s="411"/>
      <c r="E2" s="411"/>
      <c r="F2" s="411"/>
      <c r="G2" s="411"/>
      <c r="H2" s="411"/>
    </row>
    <row r="3" spans="1:13" ht="14.25" customHeight="1">
      <c r="A3" s="412" t="s">
        <v>29</v>
      </c>
      <c r="B3" s="411"/>
      <c r="C3" s="411"/>
      <c r="D3" s="411"/>
      <c r="E3" s="411"/>
      <c r="F3" s="411"/>
      <c r="G3" s="411"/>
      <c r="H3" s="411"/>
    </row>
    <row r="4" spans="1:13" ht="14.25" customHeight="1">
      <c r="A4" s="412" t="s">
        <v>30</v>
      </c>
      <c r="B4" s="411"/>
      <c r="C4" s="411"/>
      <c r="D4" s="411"/>
      <c r="E4" s="411"/>
      <c r="F4" s="411"/>
      <c r="G4" s="411"/>
      <c r="H4" s="411"/>
    </row>
    <row r="5" spans="1:13" ht="14.25" customHeight="1">
      <c r="A5" s="16"/>
      <c r="B5" s="16"/>
      <c r="C5" s="16"/>
      <c r="D5" s="16"/>
      <c r="E5" s="16"/>
      <c r="F5" s="189">
        <v>46146</v>
      </c>
      <c r="G5" s="16"/>
      <c r="H5" s="17"/>
    </row>
    <row r="6" spans="1:13" ht="14.25" customHeight="1">
      <c r="A6" s="415" t="s">
        <v>31</v>
      </c>
      <c r="B6" s="415" t="s">
        <v>32</v>
      </c>
      <c r="C6" s="415" t="s">
        <v>4</v>
      </c>
      <c r="D6" s="415" t="s">
        <v>5</v>
      </c>
      <c r="E6" s="408" t="s">
        <v>6</v>
      </c>
      <c r="F6" s="415" t="s">
        <v>33</v>
      </c>
      <c r="G6" s="415" t="s">
        <v>34</v>
      </c>
      <c r="H6" s="18"/>
    </row>
    <row r="7" spans="1:13" ht="14.25" customHeight="1">
      <c r="A7" s="409"/>
      <c r="B7" s="409"/>
      <c r="C7" s="409"/>
      <c r="D7" s="409"/>
      <c r="E7" s="409"/>
      <c r="F7" s="409"/>
      <c r="G7" s="409"/>
      <c r="H7" s="18"/>
    </row>
    <row r="8" spans="1:13" ht="14.25" customHeight="1">
      <c r="A8" s="19" t="s">
        <v>8</v>
      </c>
      <c r="B8" s="191" t="s">
        <v>9</v>
      </c>
      <c r="C8" s="191" t="s">
        <v>10</v>
      </c>
      <c r="D8" s="19" t="s">
        <v>11</v>
      </c>
      <c r="E8" s="19" t="s">
        <v>12</v>
      </c>
      <c r="F8" s="19" t="s">
        <v>35</v>
      </c>
      <c r="G8" s="19" t="s">
        <v>36</v>
      </c>
      <c r="H8" s="20"/>
      <c r="K8" s="21"/>
    </row>
    <row r="9" spans="1:13" ht="14.25" customHeight="1">
      <c r="A9" s="190" t="s">
        <v>37</v>
      </c>
      <c r="B9" s="193">
        <v>3431.22</v>
      </c>
      <c r="C9" s="203">
        <v>21935.959800000004</v>
      </c>
      <c r="D9" s="240">
        <v>16512.677200000002</v>
      </c>
      <c r="E9" s="241">
        <v>19512.826391696457</v>
      </c>
      <c r="F9" s="9">
        <f>D9-E9</f>
        <v>-3000.1491916964551</v>
      </c>
      <c r="G9" s="242">
        <f>F9</f>
        <v>-3000.1491916964551</v>
      </c>
      <c r="H9" s="22"/>
      <c r="I9" s="23"/>
      <c r="J9" s="23"/>
      <c r="K9" s="23"/>
      <c r="L9" s="24"/>
      <c r="M9" s="23"/>
    </row>
    <row r="10" spans="1:13" ht="14.25" customHeight="1">
      <c r="A10" s="190" t="s">
        <v>38</v>
      </c>
      <c r="B10" s="193">
        <v>6483.7400000000007</v>
      </c>
      <c r="C10" s="203">
        <v>43544.533300000003</v>
      </c>
      <c r="D10" s="240">
        <v>29183.249600000003</v>
      </c>
      <c r="E10" s="241">
        <v>18828.312730412672</v>
      </c>
      <c r="F10" s="9">
        <f t="shared" ref="F10:F20" si="0">D10-E10</f>
        <v>10354.936869587331</v>
      </c>
      <c r="G10" s="242">
        <f t="shared" ref="G10:G20" si="1">G9+F10</f>
        <v>7354.7876778908758</v>
      </c>
      <c r="H10" s="22"/>
      <c r="I10" s="23"/>
      <c r="J10" s="23"/>
      <c r="K10" s="23"/>
      <c r="L10" s="24"/>
      <c r="M10" s="23"/>
    </row>
    <row r="11" spans="1:13" ht="14.25" customHeight="1">
      <c r="A11" s="190" t="s">
        <v>39</v>
      </c>
      <c r="B11" s="194">
        <v>20024.609999999997</v>
      </c>
      <c r="C11" s="203">
        <v>140774.08000000002</v>
      </c>
      <c r="D11" s="240">
        <v>81629.087524966424</v>
      </c>
      <c r="E11" s="241">
        <v>20640.507514802943</v>
      </c>
      <c r="F11" s="9">
        <f t="shared" si="0"/>
        <v>60988.580010163481</v>
      </c>
      <c r="G11" s="242">
        <f t="shared" si="1"/>
        <v>68343.367688054364</v>
      </c>
      <c r="H11" s="22"/>
      <c r="I11" s="23"/>
      <c r="J11" s="23"/>
      <c r="K11" s="23"/>
      <c r="L11" s="24"/>
      <c r="M11" s="23"/>
    </row>
    <row r="12" spans="1:13" ht="14.25" customHeight="1">
      <c r="A12" s="190" t="s">
        <v>40</v>
      </c>
      <c r="B12" s="195">
        <v>18970.990000000002</v>
      </c>
      <c r="C12" s="203">
        <v>133655.14050000004</v>
      </c>
      <c r="D12" s="240">
        <v>81553.507137050256</v>
      </c>
      <c r="E12" s="241">
        <v>19220.753624817538</v>
      </c>
      <c r="F12" s="9">
        <f t="shared" si="0"/>
        <v>62332.753512232717</v>
      </c>
      <c r="G12" s="242">
        <f t="shared" si="1"/>
        <v>130676.12120028707</v>
      </c>
      <c r="H12" s="22"/>
      <c r="I12" s="23"/>
      <c r="J12" s="23"/>
      <c r="K12" s="23"/>
      <c r="L12" s="24"/>
      <c r="M12" s="23"/>
    </row>
    <row r="13" spans="1:13" ht="14.25" customHeight="1">
      <c r="A13" s="190" t="s">
        <v>41</v>
      </c>
      <c r="B13" s="194">
        <v>6311.17</v>
      </c>
      <c r="C13" s="203">
        <v>38160.642700000004</v>
      </c>
      <c r="D13" s="240">
        <v>31744.290173894016</v>
      </c>
      <c r="E13" s="241">
        <v>19512.826391696457</v>
      </c>
      <c r="F13" s="9">
        <f t="shared" si="0"/>
        <v>12231.463782197559</v>
      </c>
      <c r="G13" s="242">
        <f t="shared" si="1"/>
        <v>142907.58498248464</v>
      </c>
      <c r="H13" s="22"/>
      <c r="I13" s="23"/>
      <c r="J13" s="23"/>
      <c r="K13" s="23"/>
      <c r="L13" s="24"/>
      <c r="M13" s="23"/>
    </row>
    <row r="14" spans="1:13" ht="14.25" customHeight="1">
      <c r="A14" s="190" t="s">
        <v>42</v>
      </c>
      <c r="B14" s="195">
        <v>6887.68</v>
      </c>
      <c r="C14" s="203">
        <v>45998.617729999998</v>
      </c>
      <c r="D14" s="240">
        <v>42254.529194901159</v>
      </c>
      <c r="E14" s="241">
        <v>18899.11652937697</v>
      </c>
      <c r="F14" s="9">
        <f t="shared" si="0"/>
        <v>23355.412665524189</v>
      </c>
      <c r="G14" s="242">
        <f t="shared" si="1"/>
        <v>166262.99764800884</v>
      </c>
      <c r="H14" s="22"/>
      <c r="I14" s="23"/>
      <c r="J14" s="23"/>
      <c r="K14" s="23"/>
      <c r="L14" s="24"/>
      <c r="M14" s="23"/>
    </row>
    <row r="15" spans="1:13" ht="14.25" customHeight="1">
      <c r="A15" s="190" t="s">
        <v>43</v>
      </c>
      <c r="B15" s="194">
        <v>16523.350000000002</v>
      </c>
      <c r="C15" s="203">
        <v>110610.04160000001</v>
      </c>
      <c r="D15" s="240">
        <v>73421.337600000013</v>
      </c>
      <c r="E15" s="241">
        <v>19512.826391696457</v>
      </c>
      <c r="F15" s="9">
        <f t="shared" si="0"/>
        <v>53908.511208303556</v>
      </c>
      <c r="G15" s="242">
        <f t="shared" si="1"/>
        <v>220171.5088563124</v>
      </c>
      <c r="H15" s="22"/>
      <c r="I15" s="23"/>
      <c r="J15" s="23"/>
      <c r="K15" s="23"/>
      <c r="L15" s="24"/>
      <c r="M15" s="23"/>
    </row>
    <row r="16" spans="1:13" ht="14.25" customHeight="1">
      <c r="A16" s="190" t="s">
        <v>44</v>
      </c>
      <c r="B16" s="195">
        <v>9523.94</v>
      </c>
      <c r="C16" s="203">
        <v>63730.458899999998</v>
      </c>
      <c r="D16" s="240">
        <v>48136.795200000008</v>
      </c>
      <c r="E16" s="241">
        <v>19512.826391696457</v>
      </c>
      <c r="F16" s="9">
        <f t="shared" si="0"/>
        <v>28623.968808303551</v>
      </c>
      <c r="G16" s="242">
        <f t="shared" si="1"/>
        <v>248795.47766461596</v>
      </c>
      <c r="H16" s="22"/>
      <c r="I16" s="23"/>
      <c r="J16" s="23"/>
      <c r="K16" s="23"/>
      <c r="L16" s="24"/>
      <c r="M16" s="23"/>
    </row>
    <row r="17" spans="1:13" ht="14.25" customHeight="1">
      <c r="A17" s="190" t="s">
        <v>45</v>
      </c>
      <c r="B17" s="194">
        <v>4361.1100000000006</v>
      </c>
      <c r="C17" s="203">
        <v>29033.403499999997</v>
      </c>
      <c r="D17" s="240">
        <v>29981.108200000002</v>
      </c>
      <c r="E17" s="241">
        <v>18883.380379061087</v>
      </c>
      <c r="F17" s="9">
        <f t="shared" si="0"/>
        <v>11097.727820938915</v>
      </c>
      <c r="G17" s="242">
        <f t="shared" si="1"/>
        <v>259893.20548555488</v>
      </c>
      <c r="H17" s="22"/>
      <c r="I17" s="23"/>
      <c r="J17" s="23"/>
      <c r="K17" s="23"/>
      <c r="L17" s="24"/>
      <c r="M17" s="23"/>
    </row>
    <row r="18" spans="1:13" ht="14.25" customHeight="1">
      <c r="A18" s="190" t="s">
        <v>46</v>
      </c>
      <c r="B18" s="194">
        <v>5083.6799999999994</v>
      </c>
      <c r="C18" s="203">
        <v>34875.578299999994</v>
      </c>
      <c r="D18" s="240">
        <v>32803.177600000003</v>
      </c>
      <c r="E18" s="241">
        <v>19512.826391696457</v>
      </c>
      <c r="F18" s="9">
        <f t="shared" si="0"/>
        <v>13290.351208303546</v>
      </c>
      <c r="G18" s="242">
        <f t="shared" si="1"/>
        <v>273183.55669385841</v>
      </c>
      <c r="H18" s="22"/>
      <c r="I18" s="23"/>
      <c r="J18" s="23"/>
      <c r="K18" s="23"/>
      <c r="L18" s="24"/>
      <c r="M18" s="23"/>
    </row>
    <row r="19" spans="1:13" ht="14.25" customHeight="1">
      <c r="A19" s="190" t="s">
        <v>47</v>
      </c>
      <c r="B19" s="195">
        <v>5388.1500000000005</v>
      </c>
      <c r="C19" s="203">
        <v>39115.984600000003</v>
      </c>
      <c r="D19" s="240">
        <v>34670.044200000004</v>
      </c>
      <c r="E19" s="241">
        <v>18883.380379061087</v>
      </c>
      <c r="F19" s="9">
        <f t="shared" si="0"/>
        <v>15786.663820938917</v>
      </c>
      <c r="G19" s="242">
        <f t="shared" si="1"/>
        <v>288970.22051479731</v>
      </c>
      <c r="H19" s="22"/>
      <c r="I19" s="23"/>
      <c r="J19" s="23"/>
      <c r="K19" s="23"/>
      <c r="L19" s="24"/>
      <c r="M19" s="23"/>
    </row>
    <row r="20" spans="1:13" ht="14.25" customHeight="1">
      <c r="A20" s="190" t="s">
        <v>48</v>
      </c>
      <c r="B20" s="194">
        <v>4000</v>
      </c>
      <c r="C20" s="203">
        <v>26580.407999999999</v>
      </c>
      <c r="D20" s="240">
        <v>27799.154600000002</v>
      </c>
      <c r="E20" s="241">
        <v>19531.709772075516</v>
      </c>
      <c r="F20" s="9">
        <f t="shared" si="0"/>
        <v>8267.4448279244862</v>
      </c>
      <c r="G20" s="242">
        <f t="shared" si="1"/>
        <v>297237.6653427218</v>
      </c>
      <c r="H20" s="22"/>
      <c r="I20" s="23"/>
      <c r="J20" s="23"/>
      <c r="K20" s="23"/>
      <c r="L20" s="24"/>
      <c r="M20" s="23"/>
    </row>
    <row r="21" spans="1:13" ht="14.25" customHeight="1">
      <c r="A21" s="12">
        <v>2025</v>
      </c>
      <c r="B21" s="192">
        <f>SUM(B9:B20)</f>
        <v>106989.63999999998</v>
      </c>
      <c r="C21" s="192">
        <f t="shared" ref="C21:F21" si="2">SUM(C9:C20)</f>
        <v>728014.84893000021</v>
      </c>
      <c r="D21" s="192">
        <f t="shared" si="2"/>
        <v>529688.95823081187</v>
      </c>
      <c r="E21" s="192">
        <f t="shared" si="2"/>
        <v>232451.29288809016</v>
      </c>
      <c r="F21" s="192">
        <f t="shared" si="2"/>
        <v>297237.6653427218</v>
      </c>
      <c r="G21" s="192">
        <f>SUM(G9:G20)</f>
        <v>2100796.34456289</v>
      </c>
      <c r="H21" s="22"/>
      <c r="I21" s="23"/>
      <c r="J21" s="23"/>
      <c r="K21" s="23"/>
      <c r="L21" s="24"/>
      <c r="M21" s="23"/>
    </row>
    <row r="22" spans="1:13" ht="14.25" customHeight="1">
      <c r="A22" s="12">
        <f t="shared" ref="A22:A25" si="3">A21-1</f>
        <v>2024</v>
      </c>
      <c r="B22" s="25">
        <v>99889.87</v>
      </c>
      <c r="C22" s="25">
        <v>575513.73208487406</v>
      </c>
      <c r="D22" s="25">
        <v>339553.10193007567</v>
      </c>
      <c r="E22" s="25">
        <v>240042.0642413779</v>
      </c>
      <c r="F22" s="25">
        <v>99511.037688697746</v>
      </c>
      <c r="G22" s="26">
        <v>99511.037688697746</v>
      </c>
      <c r="H22" s="18"/>
      <c r="K22" s="23"/>
    </row>
    <row r="23" spans="1:13" ht="14.25" customHeight="1">
      <c r="A23" s="12">
        <f t="shared" si="3"/>
        <v>2023</v>
      </c>
      <c r="B23" s="25">
        <v>100226.90000000002</v>
      </c>
      <c r="C23" s="25">
        <v>570122.51325040008</v>
      </c>
      <c r="D23" s="25">
        <v>336372.28281773598</v>
      </c>
      <c r="E23" s="25">
        <v>134580</v>
      </c>
      <c r="F23" s="25">
        <v>201792.28281773595</v>
      </c>
      <c r="G23" s="26">
        <v>201792.28281773595</v>
      </c>
      <c r="H23" s="18"/>
      <c r="I23" s="27"/>
      <c r="J23" s="28"/>
      <c r="K23" s="23"/>
    </row>
    <row r="24" spans="1:13" ht="14.25" customHeight="1">
      <c r="A24" s="12">
        <f t="shared" si="3"/>
        <v>2022</v>
      </c>
      <c r="B24" s="13">
        <v>103633.89999999998</v>
      </c>
      <c r="C24" s="13">
        <v>695524.90960000001</v>
      </c>
      <c r="D24" s="13">
        <v>410359.69666399993</v>
      </c>
      <c r="E24" s="13">
        <v>189768</v>
      </c>
      <c r="F24" s="13">
        <v>220591.69666400002</v>
      </c>
      <c r="G24" s="13">
        <v>220591.69666400002</v>
      </c>
      <c r="H24" s="18"/>
      <c r="I24" s="29"/>
      <c r="J24" s="30"/>
      <c r="K24" s="23"/>
    </row>
    <row r="25" spans="1:13" ht="14.25" customHeight="1">
      <c r="A25" s="12">
        <f t="shared" si="3"/>
        <v>2021</v>
      </c>
      <c r="B25" s="13">
        <v>104463.29999999999</v>
      </c>
      <c r="C25" s="13">
        <v>617883.55659652129</v>
      </c>
      <c r="D25" s="31">
        <v>367114.15580799861</v>
      </c>
      <c r="E25" s="32">
        <v>211051.71040241723</v>
      </c>
      <c r="F25" s="13">
        <v>156062.44540558144</v>
      </c>
      <c r="G25" s="13">
        <v>156062.44540558144</v>
      </c>
      <c r="H25" s="18"/>
    </row>
    <row r="26" spans="1:13" ht="14.25" customHeight="1">
      <c r="A26" s="33"/>
      <c r="B26" s="13"/>
      <c r="C26" s="13"/>
      <c r="D26" s="31"/>
      <c r="E26" s="32"/>
      <c r="F26" s="13"/>
      <c r="G26" s="13"/>
      <c r="H26" s="18"/>
    </row>
    <row r="27" spans="1:13" ht="14.25" customHeight="1">
      <c r="A27" s="18"/>
      <c r="B27" s="18"/>
      <c r="C27" s="18"/>
      <c r="D27" s="18"/>
      <c r="E27" s="18"/>
      <c r="F27" s="18"/>
      <c r="G27" s="18"/>
      <c r="H27" s="18"/>
    </row>
    <row r="28" spans="1:13" ht="14.25" customHeight="1">
      <c r="A28" s="414" t="s">
        <v>27</v>
      </c>
      <c r="B28" s="411"/>
      <c r="C28" s="411"/>
      <c r="D28" s="411"/>
      <c r="E28" s="414"/>
      <c r="F28" s="411"/>
      <c r="G28" s="411"/>
      <c r="H28" s="411"/>
    </row>
    <row r="29" spans="1:13" ht="14.25" customHeight="1"/>
    <row r="30" spans="1:13" ht="14.25" customHeight="1"/>
    <row r="31" spans="1:13" ht="14.25" customHeight="1"/>
    <row r="32" spans="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A28:D28"/>
    <mergeCell ref="E28:H28"/>
    <mergeCell ref="F6:F7"/>
    <mergeCell ref="G6:G7"/>
    <mergeCell ref="A1:H1"/>
    <mergeCell ref="A2:H2"/>
    <mergeCell ref="A3:H3"/>
    <mergeCell ref="A4:H4"/>
    <mergeCell ref="A6:A7"/>
    <mergeCell ref="B6:B7"/>
    <mergeCell ref="C6:C7"/>
    <mergeCell ref="D6:D7"/>
    <mergeCell ref="E6:E7"/>
  </mergeCells>
  <pageMargins left="0.7" right="0.7" top="0.75" bottom="0.75" header="0" footer="0"/>
  <pageSetup paperSize="9" orientation="portrait" r:id="rId1"/>
  <colBreaks count="1" manualBreakCount="1">
    <brk id="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000"/>
  <sheetViews>
    <sheetView topLeftCell="A4" workbookViewId="0">
      <selection activeCell="K13" sqref="K13"/>
    </sheetView>
  </sheetViews>
  <sheetFormatPr defaultColWidth="14.42578125" defaultRowHeight="15" customHeight="1"/>
  <cols>
    <col min="1" max="1" width="4.5703125" customWidth="1"/>
    <col min="2" max="2" width="21" customWidth="1"/>
    <col min="3" max="4" width="8.7109375" customWidth="1"/>
    <col min="5" max="5" width="10.42578125" customWidth="1"/>
    <col min="6" max="26" width="8.7109375" customWidth="1"/>
  </cols>
  <sheetData>
    <row r="1" spans="1:8" ht="14.25" customHeight="1">
      <c r="A1" s="412" t="s">
        <v>0</v>
      </c>
      <c r="B1" s="411"/>
      <c r="C1" s="411"/>
      <c r="D1" s="411"/>
      <c r="E1" s="411"/>
      <c r="F1" s="411"/>
      <c r="G1" s="411"/>
    </row>
    <row r="2" spans="1:8" ht="14.25" customHeight="1">
      <c r="A2" s="412" t="s">
        <v>96</v>
      </c>
      <c r="B2" s="411"/>
      <c r="C2" s="411"/>
      <c r="D2" s="411"/>
      <c r="E2" s="411"/>
      <c r="F2" s="411"/>
      <c r="G2" s="411"/>
    </row>
    <row r="3" spans="1:8" ht="14.25" customHeight="1">
      <c r="A3" s="412" t="s">
        <v>62</v>
      </c>
      <c r="B3" s="411"/>
      <c r="C3" s="411"/>
      <c r="D3" s="411"/>
      <c r="E3" s="411"/>
      <c r="F3" s="411"/>
      <c r="G3" s="411"/>
    </row>
    <row r="4" spans="1:8" ht="14.25" customHeight="1">
      <c r="A4" s="16"/>
      <c r="B4" s="16"/>
      <c r="C4" s="16"/>
      <c r="D4" s="16"/>
      <c r="E4" s="16"/>
      <c r="F4" s="16"/>
      <c r="G4" s="17"/>
    </row>
    <row r="5" spans="1:8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  <c r="G5" s="298" t="s">
        <v>247</v>
      </c>
    </row>
    <row r="6" spans="1:8" ht="14.25" customHeight="1">
      <c r="A6" s="409"/>
      <c r="B6" s="409"/>
      <c r="C6" s="75" t="s">
        <v>67</v>
      </c>
      <c r="D6" s="75" t="s">
        <v>68</v>
      </c>
      <c r="E6" s="75" t="s">
        <v>69</v>
      </c>
      <c r="F6" s="75" t="s">
        <v>70</v>
      </c>
    </row>
    <row r="7" spans="1:8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</row>
    <row r="8" spans="1:8" ht="14.25" customHeight="1">
      <c r="A8" s="102">
        <v>1</v>
      </c>
      <c r="B8" s="103" t="s">
        <v>71</v>
      </c>
      <c r="C8" s="104">
        <v>97</v>
      </c>
      <c r="D8" s="104">
        <v>62</v>
      </c>
      <c r="E8" s="104">
        <v>96</v>
      </c>
      <c r="F8" s="285">
        <f>E8/D8</f>
        <v>1.5483870967741935</v>
      </c>
      <c r="H8" s="112"/>
    </row>
    <row r="9" spans="1:8" ht="14.25" customHeight="1">
      <c r="A9" s="102">
        <v>2</v>
      </c>
      <c r="B9" s="103" t="s">
        <v>72</v>
      </c>
      <c r="C9" s="104">
        <v>35</v>
      </c>
      <c r="D9" s="104">
        <v>8</v>
      </c>
      <c r="E9" s="104">
        <v>5.8224</v>
      </c>
      <c r="F9" s="285">
        <f>E9/D9</f>
        <v>0.7278</v>
      </c>
      <c r="H9" s="112"/>
    </row>
    <row r="10" spans="1:8" ht="14.25" customHeight="1">
      <c r="A10" s="102">
        <v>3</v>
      </c>
      <c r="B10" s="103" t="s">
        <v>73</v>
      </c>
      <c r="C10" s="104"/>
      <c r="D10" s="104"/>
      <c r="E10" s="104"/>
      <c r="F10" s="104"/>
    </row>
    <row r="11" spans="1:8" ht="14.25" customHeight="1">
      <c r="A11" s="102">
        <v>4</v>
      </c>
      <c r="B11" s="103" t="s">
        <v>74</v>
      </c>
      <c r="C11" s="104"/>
      <c r="D11" s="104"/>
      <c r="E11" s="104"/>
      <c r="F11" s="104"/>
    </row>
    <row r="12" spans="1:8" ht="14.25" customHeight="1">
      <c r="A12" s="102">
        <v>5</v>
      </c>
      <c r="B12" s="103" t="s">
        <v>75</v>
      </c>
      <c r="C12" s="104"/>
      <c r="D12" s="104"/>
      <c r="E12" s="104"/>
      <c r="F12" s="104"/>
    </row>
    <row r="13" spans="1:8" ht="14.25" customHeight="1">
      <c r="A13" s="102">
        <v>6</v>
      </c>
      <c r="B13" s="103" t="s">
        <v>76</v>
      </c>
      <c r="C13" s="104"/>
      <c r="D13" s="104"/>
      <c r="E13" s="104"/>
      <c r="F13" s="88"/>
    </row>
    <row r="14" spans="1:8" ht="14.25" customHeight="1">
      <c r="A14" s="102">
        <v>7</v>
      </c>
      <c r="B14" s="103" t="s">
        <v>77</v>
      </c>
      <c r="C14" s="104"/>
      <c r="D14" s="104"/>
      <c r="E14" s="104"/>
      <c r="F14" s="104"/>
    </row>
    <row r="15" spans="1:8" ht="14.25" customHeight="1">
      <c r="A15" s="102">
        <v>8</v>
      </c>
      <c r="B15" s="103" t="s">
        <v>78</v>
      </c>
      <c r="C15" s="104"/>
      <c r="D15" s="104"/>
      <c r="E15" s="104"/>
      <c r="F15" s="104"/>
    </row>
    <row r="16" spans="1:8" ht="14.25" customHeight="1">
      <c r="A16" s="102">
        <v>9</v>
      </c>
      <c r="B16" s="103" t="s">
        <v>79</v>
      </c>
      <c r="C16" s="104"/>
      <c r="D16" s="104"/>
      <c r="E16" s="104"/>
      <c r="F16" s="104"/>
    </row>
    <row r="17" spans="1:8" ht="14.25" customHeight="1">
      <c r="A17" s="102">
        <v>10</v>
      </c>
      <c r="B17" s="103" t="s">
        <v>80</v>
      </c>
      <c r="C17" s="104"/>
      <c r="D17" s="104"/>
      <c r="E17" s="104"/>
      <c r="F17" s="104"/>
    </row>
    <row r="18" spans="1:8" ht="14.25" customHeight="1">
      <c r="A18" s="102">
        <v>11</v>
      </c>
      <c r="B18" s="103" t="s">
        <v>81</v>
      </c>
      <c r="C18" s="104"/>
      <c r="D18" s="104"/>
      <c r="E18" s="104"/>
      <c r="F18" s="104"/>
    </row>
    <row r="19" spans="1:8" ht="14.25" customHeight="1">
      <c r="A19" s="102">
        <v>12</v>
      </c>
      <c r="B19" s="103" t="s">
        <v>82</v>
      </c>
      <c r="C19" s="104"/>
      <c r="D19" s="104"/>
      <c r="E19" s="104"/>
      <c r="F19" s="104"/>
    </row>
    <row r="20" spans="1:8" ht="14.25" customHeight="1">
      <c r="A20" s="102">
        <v>13</v>
      </c>
      <c r="B20" s="103" t="s">
        <v>83</v>
      </c>
      <c r="C20" s="104"/>
      <c r="D20" s="104"/>
      <c r="E20" s="104"/>
      <c r="F20" s="104"/>
    </row>
    <row r="21" spans="1:8" ht="14.25" customHeight="1">
      <c r="A21" s="102">
        <v>14</v>
      </c>
      <c r="B21" s="103" t="s">
        <v>84</v>
      </c>
      <c r="C21" s="104"/>
      <c r="D21" s="104"/>
      <c r="E21" s="104"/>
      <c r="F21" s="104"/>
    </row>
    <row r="22" spans="1:8" ht="14.25" customHeight="1">
      <c r="A22" s="102">
        <v>15</v>
      </c>
      <c r="B22" s="103" t="s">
        <v>85</v>
      </c>
      <c r="C22" s="104"/>
      <c r="D22" s="104"/>
      <c r="E22" s="104"/>
      <c r="F22" s="104"/>
    </row>
    <row r="23" spans="1:8" ht="14.25" customHeight="1">
      <c r="A23" s="102">
        <v>16</v>
      </c>
      <c r="B23" s="103" t="s">
        <v>86</v>
      </c>
      <c r="C23" s="104"/>
      <c r="D23" s="104"/>
      <c r="E23" s="104"/>
      <c r="F23" s="104"/>
    </row>
    <row r="24" spans="1:8" ht="14.25" customHeight="1">
      <c r="A24" s="102">
        <v>17</v>
      </c>
      <c r="B24" s="103" t="s">
        <v>87</v>
      </c>
      <c r="C24" s="104"/>
      <c r="D24" s="104">
        <v>0</v>
      </c>
      <c r="E24" s="104"/>
      <c r="F24" s="104"/>
    </row>
    <row r="25" spans="1:8" ht="15" customHeight="1">
      <c r="A25" s="12"/>
      <c r="B25" s="12">
        <v>2025</v>
      </c>
      <c r="C25" s="113">
        <f>SUM(C8:C24)</f>
        <v>132</v>
      </c>
      <c r="D25" s="113">
        <f t="shared" ref="D25:F25" si="0">SUM(D8:D24)</f>
        <v>70</v>
      </c>
      <c r="E25" s="113">
        <f t="shared" si="0"/>
        <v>101.8224</v>
      </c>
      <c r="F25" s="38">
        <f t="shared" si="0"/>
        <v>2.2761870967741933</v>
      </c>
    </row>
    <row r="26" spans="1:8" ht="14.25" customHeight="1">
      <c r="A26" s="12"/>
      <c r="B26" s="12">
        <f t="shared" ref="B26:B29" si="1">B25-1</f>
        <v>2024</v>
      </c>
      <c r="C26" s="221">
        <v>132</v>
      </c>
      <c r="D26" s="221">
        <v>70</v>
      </c>
      <c r="E26" s="222">
        <v>105.133</v>
      </c>
      <c r="F26" s="222">
        <v>1.5019</v>
      </c>
      <c r="H26" s="106"/>
    </row>
    <row r="27" spans="1:8" ht="14.25" customHeight="1">
      <c r="A27" s="12"/>
      <c r="B27" s="12">
        <f t="shared" si="1"/>
        <v>2023</v>
      </c>
      <c r="C27" s="221">
        <v>132</v>
      </c>
      <c r="D27" s="221">
        <v>70</v>
      </c>
      <c r="E27" s="222">
        <v>89.183999999999997</v>
      </c>
      <c r="F27" s="222">
        <v>1.33</v>
      </c>
      <c r="H27" s="106"/>
    </row>
    <row r="28" spans="1:8" ht="14.25" customHeight="1">
      <c r="A28" s="12"/>
      <c r="B28" s="12">
        <f t="shared" si="1"/>
        <v>2022</v>
      </c>
      <c r="C28" s="223">
        <v>135</v>
      </c>
      <c r="D28" s="223">
        <v>58</v>
      </c>
      <c r="E28" s="224">
        <v>69.680000000000007</v>
      </c>
      <c r="F28" s="222">
        <v>0.73</v>
      </c>
      <c r="H28" s="106"/>
    </row>
    <row r="29" spans="1:8" ht="14.25" customHeight="1">
      <c r="A29" s="12"/>
      <c r="B29" s="12">
        <f t="shared" si="1"/>
        <v>2021</v>
      </c>
      <c r="C29" s="114"/>
      <c r="D29" s="114"/>
      <c r="E29" s="114"/>
      <c r="F29" s="114"/>
    </row>
    <row r="30" spans="1:8" ht="14.25" customHeight="1">
      <c r="A30" s="420"/>
      <c r="B30" s="421"/>
      <c r="C30" s="114"/>
      <c r="D30" s="114"/>
      <c r="E30" s="114"/>
      <c r="F30" s="114"/>
    </row>
    <row r="31" spans="1:8" ht="14.25" customHeight="1"/>
    <row r="32" spans="1:8" ht="14.25" customHeight="1">
      <c r="A32" s="410" t="s">
        <v>27</v>
      </c>
      <c r="B32" s="411"/>
      <c r="C32" s="411"/>
      <c r="D32" s="411"/>
      <c r="E32" s="411"/>
      <c r="F32" s="411"/>
      <c r="G32" s="411"/>
      <c r="H32" s="411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00"/>
  <sheetViews>
    <sheetView workbookViewId="0">
      <selection activeCell="K14" sqref="K14"/>
    </sheetView>
  </sheetViews>
  <sheetFormatPr defaultColWidth="14.42578125" defaultRowHeight="15" customHeight="1"/>
  <cols>
    <col min="1" max="1" width="4.85546875" customWidth="1"/>
    <col min="2" max="2" width="28.5703125" customWidth="1"/>
    <col min="3" max="4" width="8.7109375" customWidth="1"/>
    <col min="5" max="5" width="10.140625" customWidth="1"/>
    <col min="6" max="26" width="8.7109375" customWidth="1"/>
  </cols>
  <sheetData>
    <row r="1" spans="1:7" ht="14.25" customHeight="1">
      <c r="A1" s="412" t="s">
        <v>0</v>
      </c>
      <c r="B1" s="411"/>
      <c r="C1" s="411"/>
      <c r="D1" s="411"/>
      <c r="E1" s="411"/>
      <c r="F1" s="411"/>
      <c r="G1" s="411"/>
    </row>
    <row r="2" spans="1:7" ht="14.25" customHeight="1">
      <c r="A2" s="412" t="s">
        <v>97</v>
      </c>
      <c r="B2" s="411"/>
      <c r="C2" s="411"/>
      <c r="D2" s="411"/>
      <c r="E2" s="411"/>
      <c r="F2" s="411"/>
      <c r="G2" s="411"/>
    </row>
    <row r="3" spans="1:7" ht="14.25" customHeight="1">
      <c r="A3" s="412" t="s">
        <v>62</v>
      </c>
      <c r="B3" s="411"/>
      <c r="C3" s="411"/>
      <c r="D3" s="411"/>
      <c r="E3" s="411"/>
      <c r="F3" s="411"/>
      <c r="G3" s="411"/>
    </row>
    <row r="4" spans="1:7" ht="14.25" customHeight="1">
      <c r="A4" s="16"/>
      <c r="B4" s="16"/>
      <c r="C4" s="16"/>
      <c r="D4" s="16"/>
      <c r="E4" s="16"/>
      <c r="F4" s="16"/>
      <c r="G4" s="17"/>
    </row>
    <row r="5" spans="1:7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</row>
    <row r="6" spans="1:7" ht="14.25" customHeight="1">
      <c r="A6" s="409"/>
      <c r="B6" s="409"/>
      <c r="C6" s="75" t="s">
        <v>67</v>
      </c>
      <c r="D6" s="75" t="s">
        <v>68</v>
      </c>
      <c r="E6" s="75" t="s">
        <v>69</v>
      </c>
      <c r="F6" s="75" t="s">
        <v>70</v>
      </c>
    </row>
    <row r="7" spans="1:7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</row>
    <row r="8" spans="1:7" ht="14.25" customHeight="1">
      <c r="A8" s="102">
        <v>1</v>
      </c>
      <c r="B8" s="103" t="s">
        <v>71</v>
      </c>
      <c r="C8" s="104"/>
      <c r="D8" s="104"/>
      <c r="E8" s="104"/>
      <c r="F8" s="104"/>
    </row>
    <row r="9" spans="1:7" ht="14.25" customHeight="1">
      <c r="A9" s="102">
        <v>2</v>
      </c>
      <c r="B9" s="103" t="s">
        <v>72</v>
      </c>
      <c r="C9" s="104"/>
      <c r="D9" s="104"/>
      <c r="E9" s="104"/>
      <c r="F9" s="104"/>
    </row>
    <row r="10" spans="1:7" ht="14.25" customHeight="1">
      <c r="A10" s="102">
        <v>3</v>
      </c>
      <c r="B10" s="103" t="s">
        <v>73</v>
      </c>
      <c r="C10" s="104"/>
      <c r="D10" s="104"/>
      <c r="E10" s="104"/>
      <c r="F10" s="104"/>
    </row>
    <row r="11" spans="1:7" ht="14.25" customHeight="1">
      <c r="A11" s="102">
        <v>4</v>
      </c>
      <c r="B11" s="103" t="s">
        <v>74</v>
      </c>
      <c r="C11" s="104"/>
      <c r="D11" s="104"/>
      <c r="E11" s="104"/>
      <c r="F11" s="104"/>
    </row>
    <row r="12" spans="1:7" ht="14.25" customHeight="1">
      <c r="A12" s="102">
        <v>5</v>
      </c>
      <c r="B12" s="103" t="s">
        <v>75</v>
      </c>
      <c r="C12" s="104"/>
      <c r="D12" s="104"/>
      <c r="E12" s="104"/>
      <c r="F12" s="104"/>
    </row>
    <row r="13" spans="1:7" ht="14.25" customHeight="1">
      <c r="A13" s="102">
        <v>6</v>
      </c>
      <c r="B13" s="103" t="s">
        <v>76</v>
      </c>
      <c r="C13" s="104"/>
      <c r="D13" s="104"/>
      <c r="E13" s="104"/>
      <c r="F13" s="104"/>
    </row>
    <row r="14" spans="1:7" ht="14.25" customHeight="1">
      <c r="A14" s="102">
        <v>7</v>
      </c>
      <c r="B14" s="103" t="s">
        <v>77</v>
      </c>
      <c r="C14" s="108"/>
      <c r="D14" s="115"/>
      <c r="E14" s="108"/>
      <c r="F14" s="88"/>
    </row>
    <row r="15" spans="1:7" ht="14.25" customHeight="1">
      <c r="A15" s="102">
        <v>8</v>
      </c>
      <c r="B15" s="103" t="s">
        <v>78</v>
      </c>
      <c r="C15" s="108"/>
      <c r="D15" s="116"/>
      <c r="E15" s="108"/>
      <c r="F15" s="88"/>
    </row>
    <row r="16" spans="1:7" ht="14.25" customHeight="1">
      <c r="A16" s="102">
        <v>9</v>
      </c>
      <c r="B16" s="103" t="s">
        <v>79</v>
      </c>
      <c r="C16" s="104">
        <v>0.5</v>
      </c>
      <c r="D16" s="104">
        <v>0.5</v>
      </c>
      <c r="E16" s="35">
        <v>0.53</v>
      </c>
      <c r="F16" s="300">
        <f>E16/D16</f>
        <v>1.06</v>
      </c>
    </row>
    <row r="17" spans="1:8" ht="14.25" customHeight="1">
      <c r="A17" s="102">
        <v>10</v>
      </c>
      <c r="B17" s="103" t="s">
        <v>80</v>
      </c>
      <c r="C17" s="104"/>
      <c r="D17" s="104"/>
      <c r="E17" s="104"/>
      <c r="F17" s="104"/>
    </row>
    <row r="18" spans="1:8" ht="14.25" customHeight="1">
      <c r="A18" s="102">
        <v>11</v>
      </c>
      <c r="B18" s="103" t="s">
        <v>81</v>
      </c>
      <c r="C18" s="104"/>
      <c r="D18" s="104"/>
      <c r="E18" s="104"/>
      <c r="F18" s="104"/>
    </row>
    <row r="19" spans="1:8" ht="14.25" customHeight="1">
      <c r="A19" s="102">
        <v>12</v>
      </c>
      <c r="B19" s="103" t="s">
        <v>82</v>
      </c>
      <c r="C19" s="104"/>
      <c r="D19" s="104"/>
      <c r="E19" s="104"/>
      <c r="F19" s="104"/>
    </row>
    <row r="20" spans="1:8" ht="14.25" customHeight="1">
      <c r="A20" s="102">
        <v>13</v>
      </c>
      <c r="B20" s="103" t="s">
        <v>83</v>
      </c>
      <c r="C20" s="104"/>
      <c r="D20" s="117"/>
      <c r="E20" s="118"/>
      <c r="F20" s="88"/>
    </row>
    <row r="21" spans="1:8" ht="14.25" customHeight="1">
      <c r="A21" s="102">
        <v>14</v>
      </c>
      <c r="B21" s="103" t="s">
        <v>84</v>
      </c>
      <c r="C21" s="104"/>
      <c r="D21" s="104"/>
      <c r="E21" s="104"/>
      <c r="F21" s="104"/>
    </row>
    <row r="22" spans="1:8" ht="14.25" customHeight="1">
      <c r="A22" s="102">
        <v>15</v>
      </c>
      <c r="B22" s="103" t="s">
        <v>85</v>
      </c>
      <c r="C22" s="104"/>
      <c r="D22" s="104"/>
      <c r="E22" s="104"/>
      <c r="F22" s="104"/>
    </row>
    <row r="23" spans="1:8" ht="14.25" customHeight="1">
      <c r="A23" s="102">
        <v>16</v>
      </c>
      <c r="B23" s="103" t="s">
        <v>86</v>
      </c>
      <c r="C23" s="104"/>
      <c r="D23" s="104"/>
      <c r="E23" s="104"/>
      <c r="F23" s="104"/>
    </row>
    <row r="24" spans="1:8" ht="14.25" customHeight="1">
      <c r="A24" s="102">
        <v>17</v>
      </c>
      <c r="B24" s="103" t="s">
        <v>87</v>
      </c>
      <c r="C24" s="104"/>
      <c r="D24" s="104"/>
      <c r="E24" s="104"/>
      <c r="F24" s="104"/>
    </row>
    <row r="25" spans="1:8" ht="15" customHeight="1">
      <c r="A25" s="12"/>
      <c r="B25" s="12">
        <v>2025</v>
      </c>
      <c r="C25" s="113">
        <f>SUM(C8:C24)</f>
        <v>0.5</v>
      </c>
      <c r="D25" s="113">
        <f t="shared" ref="D25:F25" si="0">SUM(D8:D24)</f>
        <v>0.5</v>
      </c>
      <c r="E25" s="38">
        <f t="shared" si="0"/>
        <v>0.53</v>
      </c>
      <c r="F25" s="38">
        <f t="shared" si="0"/>
        <v>1.06</v>
      </c>
    </row>
    <row r="26" spans="1:8" ht="14.25" customHeight="1">
      <c r="A26" s="12"/>
      <c r="B26" s="12">
        <f t="shared" ref="B26:B29" si="1">B25-1</f>
        <v>2024</v>
      </c>
      <c r="C26" s="221">
        <v>1</v>
      </c>
      <c r="D26" s="221">
        <v>1</v>
      </c>
      <c r="E26" s="221">
        <v>0.43</v>
      </c>
      <c r="F26" s="209">
        <v>0.43</v>
      </c>
    </row>
    <row r="27" spans="1:8" ht="14.25" customHeight="1">
      <c r="A27" s="12"/>
      <c r="B27" s="12">
        <f t="shared" si="1"/>
        <v>2023</v>
      </c>
      <c r="C27" s="221">
        <v>6.67</v>
      </c>
      <c r="D27" s="221">
        <v>6.67</v>
      </c>
      <c r="E27" s="221">
        <v>4.8949999999999996</v>
      </c>
      <c r="F27" s="209">
        <v>0.75</v>
      </c>
    </row>
    <row r="28" spans="1:8" ht="14.25" customHeight="1">
      <c r="A28" s="12"/>
      <c r="B28" s="12">
        <f t="shared" si="1"/>
        <v>2022</v>
      </c>
      <c r="C28" s="221">
        <v>2.33</v>
      </c>
      <c r="D28" s="221">
        <v>1.6</v>
      </c>
      <c r="E28" s="221">
        <v>1.1249999999999998</v>
      </c>
      <c r="F28" s="209">
        <v>0.73</v>
      </c>
    </row>
    <row r="29" spans="1:8" ht="14.25" customHeight="1">
      <c r="A29" s="12"/>
      <c r="B29" s="12">
        <f t="shared" si="1"/>
        <v>2021</v>
      </c>
      <c r="C29" s="87"/>
      <c r="D29" s="87"/>
      <c r="E29" s="88"/>
      <c r="F29" s="88"/>
      <c r="G29" s="72"/>
      <c r="H29" s="72"/>
    </row>
    <row r="30" spans="1:8" ht="14.25" customHeight="1">
      <c r="A30" s="426"/>
      <c r="B30" s="423"/>
      <c r="C30" s="72"/>
      <c r="D30" s="72"/>
      <c r="E30" s="72"/>
      <c r="F30" s="72"/>
      <c r="G30" s="72"/>
      <c r="H30" s="72"/>
    </row>
    <row r="31" spans="1:8" ht="14.25" customHeight="1">
      <c r="A31" s="410" t="s">
        <v>27</v>
      </c>
      <c r="B31" s="411"/>
      <c r="C31" s="411"/>
      <c r="D31" s="411"/>
      <c r="E31" s="411"/>
      <c r="F31" s="411"/>
      <c r="G31" s="411"/>
      <c r="H31" s="411"/>
    </row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1:H31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000"/>
  <sheetViews>
    <sheetView topLeftCell="A6" workbookViewId="0">
      <selection activeCell="K23" sqref="K23"/>
    </sheetView>
  </sheetViews>
  <sheetFormatPr defaultColWidth="14.42578125" defaultRowHeight="15" customHeight="1"/>
  <cols>
    <col min="1" max="1" width="4.42578125" customWidth="1"/>
    <col min="2" max="2" width="25.5703125" customWidth="1"/>
    <col min="3" max="4" width="8.7109375" customWidth="1"/>
    <col min="5" max="5" width="10.42578125" customWidth="1"/>
    <col min="6" max="26" width="8.7109375" customWidth="1"/>
  </cols>
  <sheetData>
    <row r="1" spans="1:8" ht="14.25" customHeight="1">
      <c r="A1" s="412" t="s">
        <v>0</v>
      </c>
      <c r="B1" s="411"/>
      <c r="C1" s="411"/>
      <c r="D1" s="411"/>
      <c r="E1" s="411"/>
      <c r="F1" s="411"/>
      <c r="G1" s="411"/>
    </row>
    <row r="2" spans="1:8" ht="14.25" customHeight="1">
      <c r="A2" s="412" t="s">
        <v>98</v>
      </c>
      <c r="B2" s="411"/>
      <c r="C2" s="411"/>
      <c r="D2" s="411"/>
      <c r="E2" s="411"/>
      <c r="F2" s="411"/>
      <c r="G2" s="411"/>
    </row>
    <row r="3" spans="1:8" ht="14.25" customHeight="1">
      <c r="A3" s="412" t="s">
        <v>62</v>
      </c>
      <c r="B3" s="411"/>
      <c r="C3" s="411"/>
      <c r="D3" s="411"/>
      <c r="E3" s="411"/>
      <c r="F3" s="411"/>
      <c r="G3" s="411"/>
    </row>
    <row r="4" spans="1:8" ht="14.25" customHeight="1">
      <c r="A4" s="16"/>
      <c r="B4" s="16"/>
      <c r="C4" s="16"/>
      <c r="D4" s="16"/>
      <c r="E4" s="16"/>
      <c r="F4" s="16"/>
      <c r="G4" s="17"/>
    </row>
    <row r="5" spans="1:8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</row>
    <row r="6" spans="1:8" ht="42" customHeight="1">
      <c r="A6" s="409"/>
      <c r="B6" s="409"/>
      <c r="C6" s="75" t="s">
        <v>67</v>
      </c>
      <c r="D6" s="75" t="s">
        <v>68</v>
      </c>
      <c r="E6" s="75" t="s">
        <v>69</v>
      </c>
      <c r="F6" s="75" t="s">
        <v>70</v>
      </c>
    </row>
    <row r="7" spans="1:8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</row>
    <row r="8" spans="1:8" ht="14.25" customHeight="1">
      <c r="A8" s="102">
        <v>1</v>
      </c>
      <c r="B8" s="103" t="s">
        <v>71</v>
      </c>
      <c r="C8" s="104"/>
      <c r="D8" s="104"/>
      <c r="E8" s="104"/>
      <c r="F8" s="104"/>
    </row>
    <row r="9" spans="1:8" ht="14.25" customHeight="1">
      <c r="A9" s="102">
        <v>2</v>
      </c>
      <c r="B9" s="103" t="s">
        <v>72</v>
      </c>
      <c r="C9" s="104"/>
      <c r="D9" s="104"/>
      <c r="E9" s="104"/>
      <c r="F9" s="104"/>
    </row>
    <row r="10" spans="1:8" ht="14.25" customHeight="1">
      <c r="A10" s="102">
        <v>3</v>
      </c>
      <c r="B10" s="103" t="s">
        <v>73</v>
      </c>
      <c r="C10" s="104"/>
      <c r="D10" s="104"/>
      <c r="E10" s="104"/>
      <c r="F10" s="88"/>
    </row>
    <row r="11" spans="1:8" ht="14.25" customHeight="1">
      <c r="A11" s="102">
        <v>4</v>
      </c>
      <c r="B11" s="103" t="s">
        <v>74</v>
      </c>
      <c r="C11" s="104"/>
      <c r="D11" s="104"/>
      <c r="E11" s="104"/>
      <c r="F11" s="104"/>
    </row>
    <row r="12" spans="1:8" ht="14.25" customHeight="1">
      <c r="A12" s="102">
        <v>5</v>
      </c>
      <c r="B12" s="103" t="s">
        <v>75</v>
      </c>
      <c r="C12" s="104"/>
      <c r="D12" s="104"/>
      <c r="E12" s="104"/>
      <c r="F12" s="104"/>
    </row>
    <row r="13" spans="1:8" ht="14.25" customHeight="1">
      <c r="A13" s="102">
        <v>6</v>
      </c>
      <c r="B13" s="103" t="s">
        <v>76</v>
      </c>
      <c r="C13" s="104"/>
      <c r="D13" s="104"/>
      <c r="E13" s="104"/>
      <c r="F13" s="104"/>
      <c r="H13" s="15"/>
    </row>
    <row r="14" spans="1:8" ht="14.25" customHeight="1">
      <c r="A14" s="102">
        <v>7</v>
      </c>
      <c r="B14" s="103" t="s">
        <v>77</v>
      </c>
      <c r="C14" s="104">
        <v>5</v>
      </c>
      <c r="D14" s="104">
        <v>15</v>
      </c>
      <c r="E14" s="35">
        <v>82</v>
      </c>
      <c r="F14" s="300">
        <f t="shared" ref="F14:F19" si="0">E14/D14</f>
        <v>5.4666666666666668</v>
      </c>
    </row>
    <row r="15" spans="1:8" ht="14.25" customHeight="1">
      <c r="A15" s="102">
        <v>8</v>
      </c>
      <c r="B15" s="103" t="s">
        <v>78</v>
      </c>
      <c r="C15" s="104"/>
      <c r="D15" s="104"/>
      <c r="E15" s="35"/>
      <c r="F15" s="88"/>
    </row>
    <row r="16" spans="1:8" ht="14.25" customHeight="1">
      <c r="A16" s="102">
        <v>9</v>
      </c>
      <c r="B16" s="103" t="s">
        <v>79</v>
      </c>
      <c r="C16" s="104">
        <v>100</v>
      </c>
      <c r="D16" s="104">
        <v>100</v>
      </c>
      <c r="E16" s="35">
        <v>600</v>
      </c>
      <c r="F16" s="300">
        <f t="shared" si="0"/>
        <v>6</v>
      </c>
    </row>
    <row r="17" spans="1:7" ht="14.25" customHeight="1">
      <c r="A17" s="102">
        <v>10</v>
      </c>
      <c r="B17" s="103" t="s">
        <v>80</v>
      </c>
      <c r="C17" s="104">
        <v>171.61</v>
      </c>
      <c r="D17" s="104">
        <v>148</v>
      </c>
      <c r="E17" s="35">
        <v>1192.8800000000001</v>
      </c>
      <c r="F17" s="300">
        <f t="shared" si="0"/>
        <v>8.06</v>
      </c>
    </row>
    <row r="18" spans="1:7" ht="14.25" customHeight="1">
      <c r="A18" s="102">
        <v>11</v>
      </c>
      <c r="B18" s="103" t="s">
        <v>81</v>
      </c>
      <c r="C18" s="104">
        <v>40</v>
      </c>
      <c r="D18" s="104"/>
      <c r="E18" s="35"/>
      <c r="F18" s="300"/>
    </row>
    <row r="19" spans="1:7" ht="14.25" customHeight="1">
      <c r="A19" s="102">
        <v>12</v>
      </c>
      <c r="B19" s="103" t="s">
        <v>82</v>
      </c>
      <c r="C19" s="104">
        <v>283.26</v>
      </c>
      <c r="D19" s="104">
        <v>283.26</v>
      </c>
      <c r="E19" s="35">
        <v>2047.7619999999999</v>
      </c>
      <c r="F19" s="300">
        <f t="shared" si="0"/>
        <v>7.2292663983619292</v>
      </c>
    </row>
    <row r="20" spans="1:7" ht="14.25" customHeight="1">
      <c r="A20" s="102">
        <v>13</v>
      </c>
      <c r="B20" s="103" t="s">
        <v>83</v>
      </c>
      <c r="C20" s="104"/>
      <c r="D20" s="104"/>
      <c r="E20" s="35"/>
      <c r="F20" s="88"/>
    </row>
    <row r="21" spans="1:7" ht="14.25" customHeight="1">
      <c r="A21" s="102">
        <v>14</v>
      </c>
      <c r="B21" s="103" t="s">
        <v>84</v>
      </c>
      <c r="C21" s="104"/>
      <c r="D21" s="104"/>
      <c r="E21" s="35"/>
      <c r="F21" s="88"/>
    </row>
    <row r="22" spans="1:7" ht="14.25" customHeight="1">
      <c r="A22" s="102">
        <v>15</v>
      </c>
      <c r="B22" s="103" t="s">
        <v>85</v>
      </c>
      <c r="C22" s="104">
        <v>75</v>
      </c>
      <c r="D22" s="104">
        <v>160</v>
      </c>
      <c r="E22" s="35">
        <v>877.5</v>
      </c>
      <c r="F22" s="300">
        <f t="shared" ref="F22:F23" si="1">E22/D22</f>
        <v>5.484375</v>
      </c>
    </row>
    <row r="23" spans="1:7" ht="14.25" customHeight="1">
      <c r="A23" s="102">
        <v>16</v>
      </c>
      <c r="B23" s="103" t="s">
        <v>86</v>
      </c>
      <c r="C23" s="104">
        <v>138</v>
      </c>
      <c r="D23" s="104">
        <v>30</v>
      </c>
      <c r="E23" s="35">
        <v>89.1</v>
      </c>
      <c r="F23" s="300">
        <f t="shared" si="1"/>
        <v>2.9699999999999998</v>
      </c>
    </row>
    <row r="24" spans="1:7" ht="14.25" customHeight="1">
      <c r="A24" s="102">
        <v>17</v>
      </c>
      <c r="B24" s="103" t="s">
        <v>87</v>
      </c>
      <c r="C24" s="104">
        <v>41.5</v>
      </c>
      <c r="D24" s="104"/>
      <c r="E24" s="104"/>
      <c r="F24" s="88"/>
    </row>
    <row r="25" spans="1:7" ht="15" customHeight="1">
      <c r="A25" s="12"/>
      <c r="B25" s="12">
        <v>2025</v>
      </c>
      <c r="C25" s="113">
        <f>SUM(C8:C24)</f>
        <v>854.37</v>
      </c>
      <c r="D25" s="113">
        <f t="shared" ref="D25:F25" si="2">SUM(D8:D24)</f>
        <v>736.26</v>
      </c>
      <c r="E25" s="113">
        <f t="shared" si="2"/>
        <v>4889.2420000000002</v>
      </c>
      <c r="F25" s="113">
        <f t="shared" si="2"/>
        <v>35.210308065028599</v>
      </c>
    </row>
    <row r="26" spans="1:7" ht="14.25" customHeight="1">
      <c r="A26" s="12"/>
      <c r="B26" s="12">
        <f t="shared" ref="B26:B29" si="3">B25-1</f>
        <v>2024</v>
      </c>
      <c r="C26" s="221">
        <v>1612.1999999999998</v>
      </c>
      <c r="D26" s="221">
        <v>1129.9380000000001</v>
      </c>
      <c r="E26" s="221">
        <v>6063.82762</v>
      </c>
      <c r="F26" s="209">
        <v>5.3665135786211273</v>
      </c>
    </row>
    <row r="27" spans="1:7" ht="14.25" customHeight="1">
      <c r="A27" s="12"/>
      <c r="B27" s="12">
        <f t="shared" si="3"/>
        <v>2023</v>
      </c>
      <c r="C27" s="221">
        <v>1480.4</v>
      </c>
      <c r="D27" s="221">
        <v>772</v>
      </c>
      <c r="E27" s="221">
        <v>1252.8489999999999</v>
      </c>
      <c r="F27" s="209">
        <v>2.3306893983177881</v>
      </c>
    </row>
    <row r="28" spans="1:7" ht="14.25" customHeight="1">
      <c r="A28" s="12"/>
      <c r="B28" s="12">
        <f t="shared" si="3"/>
        <v>2022</v>
      </c>
      <c r="C28" s="223">
        <v>985.5</v>
      </c>
      <c r="D28" s="223">
        <v>529.5</v>
      </c>
      <c r="E28" s="223">
        <v>2629.5</v>
      </c>
      <c r="F28" s="209">
        <v>4.97</v>
      </c>
    </row>
    <row r="29" spans="1:7" ht="14.25" customHeight="1">
      <c r="A29" s="12"/>
      <c r="B29" s="12">
        <f t="shared" si="3"/>
        <v>2021</v>
      </c>
      <c r="C29" s="114"/>
      <c r="D29" s="114"/>
      <c r="E29" s="114"/>
      <c r="F29" s="88"/>
    </row>
    <row r="30" spans="1:7" ht="14.25" customHeight="1">
      <c r="A30" s="420"/>
      <c r="B30" s="421"/>
      <c r="C30" s="114"/>
      <c r="D30" s="114"/>
      <c r="E30" s="114"/>
      <c r="F30" s="114"/>
    </row>
    <row r="31" spans="1:7" ht="14.25" customHeight="1"/>
    <row r="32" spans="1:7" ht="14.25" customHeight="1">
      <c r="A32" s="15" t="s">
        <v>27</v>
      </c>
      <c r="B32" s="15"/>
      <c r="C32" s="15"/>
      <c r="D32" s="15"/>
      <c r="E32" s="15"/>
      <c r="F32" s="15"/>
      <c r="G32" s="15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30:B30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00"/>
  <sheetViews>
    <sheetView topLeftCell="A4" workbookViewId="0">
      <selection activeCell="F25" sqref="F25"/>
    </sheetView>
  </sheetViews>
  <sheetFormatPr defaultColWidth="14.42578125" defaultRowHeight="15" customHeight="1"/>
  <cols>
    <col min="1" max="1" width="5.140625" customWidth="1"/>
    <col min="2" max="2" width="21.140625" customWidth="1"/>
    <col min="3" max="4" width="8.7109375" customWidth="1"/>
    <col min="5" max="5" width="10" customWidth="1"/>
    <col min="6" max="26" width="8.7109375" customWidth="1"/>
  </cols>
  <sheetData>
    <row r="1" spans="1:8" ht="14.25" customHeight="1">
      <c r="A1" s="412" t="s">
        <v>0</v>
      </c>
      <c r="B1" s="411"/>
      <c r="C1" s="411"/>
      <c r="D1" s="411"/>
      <c r="E1" s="411"/>
      <c r="F1" s="411"/>
      <c r="G1" s="411"/>
    </row>
    <row r="2" spans="1:8" ht="14.25" customHeight="1">
      <c r="A2" s="412" t="s">
        <v>99</v>
      </c>
      <c r="B2" s="411"/>
      <c r="C2" s="411"/>
      <c r="D2" s="411"/>
      <c r="E2" s="411"/>
      <c r="F2" s="411"/>
      <c r="G2" s="411"/>
    </row>
    <row r="3" spans="1:8" ht="14.25" customHeight="1">
      <c r="A3" s="412" t="s">
        <v>62</v>
      </c>
      <c r="B3" s="411"/>
      <c r="C3" s="411"/>
      <c r="D3" s="411"/>
      <c r="E3" s="411"/>
      <c r="F3" s="411"/>
      <c r="G3" s="411"/>
    </row>
    <row r="4" spans="1:8" ht="14.25" customHeight="1">
      <c r="A4" s="16"/>
      <c r="B4" s="16"/>
      <c r="C4" s="16"/>
      <c r="D4" s="16"/>
      <c r="E4" s="16"/>
      <c r="F4" s="16"/>
      <c r="G4" s="17"/>
    </row>
    <row r="5" spans="1:8" ht="14.25" customHeight="1">
      <c r="A5" s="413" t="s">
        <v>63</v>
      </c>
      <c r="B5" s="408" t="s">
        <v>64</v>
      </c>
      <c r="C5" s="425" t="s">
        <v>65</v>
      </c>
      <c r="D5" s="421"/>
      <c r="E5" s="425" t="s">
        <v>66</v>
      </c>
      <c r="F5" s="421"/>
    </row>
    <row r="6" spans="1:8" ht="14.25" customHeight="1">
      <c r="A6" s="409"/>
      <c r="B6" s="409"/>
      <c r="C6" s="75" t="s">
        <v>67</v>
      </c>
      <c r="D6" s="75" t="s">
        <v>68</v>
      </c>
      <c r="E6" s="75" t="s">
        <v>69</v>
      </c>
      <c r="F6" s="75" t="s">
        <v>70</v>
      </c>
    </row>
    <row r="7" spans="1:8" ht="14.25" customHeight="1">
      <c r="A7" s="67" t="s">
        <v>8</v>
      </c>
      <c r="B7" s="67" t="s">
        <v>9</v>
      </c>
      <c r="C7" s="67" t="s">
        <v>10</v>
      </c>
      <c r="D7" s="67" t="s">
        <v>12</v>
      </c>
      <c r="E7" s="67" t="s">
        <v>35</v>
      </c>
      <c r="F7" s="67" t="s">
        <v>36</v>
      </c>
    </row>
    <row r="8" spans="1:8" ht="14.25" customHeight="1">
      <c r="A8" s="102">
        <v>1</v>
      </c>
      <c r="B8" s="103" t="s">
        <v>71</v>
      </c>
      <c r="C8" s="104"/>
      <c r="D8" s="104"/>
      <c r="E8" s="104"/>
      <c r="F8" s="88"/>
    </row>
    <row r="9" spans="1:8" ht="14.25" customHeight="1">
      <c r="A9" s="102">
        <v>2</v>
      </c>
      <c r="B9" s="103" t="s">
        <v>72</v>
      </c>
      <c r="C9" s="35">
        <v>14</v>
      </c>
      <c r="D9" s="35">
        <v>14</v>
      </c>
      <c r="E9" s="35">
        <v>284.58</v>
      </c>
      <c r="F9" s="285">
        <f t="shared" ref="F9" si="0">E9/D9</f>
        <v>20.327142857142857</v>
      </c>
    </row>
    <row r="10" spans="1:8" ht="14.25" customHeight="1">
      <c r="A10" s="102">
        <v>3</v>
      </c>
      <c r="B10" s="103" t="s">
        <v>73</v>
      </c>
      <c r="C10" s="104"/>
      <c r="D10" s="104"/>
      <c r="E10" s="104"/>
      <c r="F10" s="104"/>
      <c r="H10" s="112"/>
    </row>
    <row r="11" spans="1:8" ht="14.25" customHeight="1">
      <c r="A11" s="102">
        <v>4</v>
      </c>
      <c r="B11" s="103" t="s">
        <v>74</v>
      </c>
      <c r="C11" s="119"/>
      <c r="D11" s="118"/>
      <c r="E11" s="104"/>
      <c r="F11" s="88"/>
    </row>
    <row r="12" spans="1:8" ht="14.25" customHeight="1">
      <c r="A12" s="102">
        <v>5</v>
      </c>
      <c r="B12" s="103" t="s">
        <v>75</v>
      </c>
      <c r="C12" s="118"/>
      <c r="D12" s="118"/>
      <c r="E12" s="104"/>
      <c r="F12" s="88"/>
      <c r="H12" s="112"/>
    </row>
    <row r="13" spans="1:8" ht="14.25" customHeight="1">
      <c r="A13" s="102">
        <v>6</v>
      </c>
      <c r="B13" s="103" t="s">
        <v>76</v>
      </c>
      <c r="C13" s="104"/>
      <c r="D13" s="104"/>
      <c r="E13" s="104"/>
      <c r="F13" s="104"/>
    </row>
    <row r="14" spans="1:8" ht="14.25" customHeight="1">
      <c r="A14" s="102">
        <v>7</v>
      </c>
      <c r="B14" s="103" t="s">
        <v>77</v>
      </c>
      <c r="C14" s="104"/>
      <c r="D14" s="104"/>
      <c r="E14" s="104"/>
      <c r="F14" s="104"/>
    </row>
    <row r="15" spans="1:8" ht="14.25" customHeight="1">
      <c r="A15" s="102">
        <v>8</v>
      </c>
      <c r="B15" s="103" t="s">
        <v>78</v>
      </c>
      <c r="C15" s="104"/>
      <c r="D15" s="104"/>
      <c r="E15" s="104"/>
      <c r="F15" s="104"/>
    </row>
    <row r="16" spans="1:8" ht="14.25" customHeight="1">
      <c r="A16" s="102">
        <v>9</v>
      </c>
      <c r="B16" s="103" t="s">
        <v>79</v>
      </c>
      <c r="C16" s="104"/>
      <c r="D16" s="104"/>
      <c r="E16" s="104"/>
      <c r="F16" s="104"/>
    </row>
    <row r="17" spans="1:8" ht="14.25" customHeight="1">
      <c r="A17" s="102">
        <v>10</v>
      </c>
      <c r="B17" s="103" t="s">
        <v>80</v>
      </c>
      <c r="C17" s="104"/>
      <c r="D17" s="104"/>
      <c r="E17" s="104"/>
      <c r="F17" s="104"/>
    </row>
    <row r="18" spans="1:8" ht="14.25" customHeight="1">
      <c r="A18" s="102">
        <v>11</v>
      </c>
      <c r="B18" s="103" t="s">
        <v>81</v>
      </c>
      <c r="C18" s="104"/>
      <c r="D18" s="104"/>
      <c r="E18" s="104"/>
      <c r="F18" s="104"/>
    </row>
    <row r="19" spans="1:8" ht="14.25" customHeight="1">
      <c r="A19" s="102">
        <v>12</v>
      </c>
      <c r="B19" s="103" t="s">
        <v>82</v>
      </c>
      <c r="C19" s="104"/>
      <c r="D19" s="104"/>
      <c r="E19" s="104"/>
      <c r="F19" s="104"/>
    </row>
    <row r="20" spans="1:8" ht="14.25" customHeight="1">
      <c r="A20" s="102">
        <v>13</v>
      </c>
      <c r="B20" s="103" t="s">
        <v>83</v>
      </c>
      <c r="C20" s="104"/>
      <c r="D20" s="104"/>
      <c r="E20" s="104"/>
      <c r="F20" s="104"/>
    </row>
    <row r="21" spans="1:8" ht="14.25" customHeight="1">
      <c r="A21" s="102">
        <v>14</v>
      </c>
      <c r="B21" s="103" t="s">
        <v>84</v>
      </c>
      <c r="C21" s="104"/>
      <c r="D21" s="104"/>
      <c r="E21" s="104"/>
      <c r="F21" s="104"/>
    </row>
    <row r="22" spans="1:8" ht="14.25" customHeight="1">
      <c r="A22" s="102">
        <v>15</v>
      </c>
      <c r="B22" s="103" t="s">
        <v>85</v>
      </c>
      <c r="C22" s="104"/>
      <c r="D22" s="104"/>
      <c r="E22" s="104"/>
      <c r="F22" s="104"/>
    </row>
    <row r="23" spans="1:8" ht="14.25" customHeight="1">
      <c r="A23" s="102">
        <v>16</v>
      </c>
      <c r="B23" s="103" t="s">
        <v>86</v>
      </c>
      <c r="C23" s="104"/>
      <c r="D23" s="104"/>
      <c r="E23" s="104"/>
      <c r="F23" s="104"/>
    </row>
    <row r="24" spans="1:8" ht="14.25" customHeight="1">
      <c r="A24" s="102">
        <v>17</v>
      </c>
      <c r="B24" s="103" t="s">
        <v>87</v>
      </c>
      <c r="C24" s="104"/>
      <c r="D24" s="104"/>
      <c r="E24" s="104"/>
      <c r="F24" s="104"/>
    </row>
    <row r="25" spans="1:8" ht="15" customHeight="1">
      <c r="A25" s="12"/>
      <c r="B25" s="12">
        <v>2025</v>
      </c>
      <c r="C25" s="113">
        <f>SUM(C8:C24)</f>
        <v>14</v>
      </c>
      <c r="D25" s="113">
        <f t="shared" ref="D25:F25" si="1">SUM(D8:D24)</f>
        <v>14</v>
      </c>
      <c r="E25" s="113">
        <f t="shared" si="1"/>
        <v>284.58</v>
      </c>
      <c r="F25" s="38">
        <f t="shared" si="1"/>
        <v>20.327142857142857</v>
      </c>
    </row>
    <row r="26" spans="1:8" ht="14.25" customHeight="1">
      <c r="A26" s="12"/>
      <c r="B26" s="12">
        <f t="shared" ref="B26:B29" si="2">B25-1</f>
        <v>2024</v>
      </c>
      <c r="C26" s="221">
        <v>20</v>
      </c>
      <c r="D26" s="221">
        <v>60</v>
      </c>
      <c r="E26" s="221">
        <v>252</v>
      </c>
      <c r="F26" s="209">
        <v>4.2</v>
      </c>
      <c r="H26" s="106"/>
    </row>
    <row r="27" spans="1:8" ht="14.25" customHeight="1">
      <c r="A27" s="12"/>
      <c r="B27" s="12">
        <f t="shared" si="2"/>
        <v>2023</v>
      </c>
      <c r="C27" s="221">
        <v>20</v>
      </c>
      <c r="D27" s="221">
        <v>20</v>
      </c>
      <c r="E27" s="221">
        <v>195</v>
      </c>
      <c r="F27" s="209">
        <v>9.75</v>
      </c>
      <c r="H27" s="106"/>
    </row>
    <row r="28" spans="1:8" ht="14.25" customHeight="1">
      <c r="A28" s="12"/>
      <c r="B28" s="12">
        <f t="shared" si="2"/>
        <v>2022</v>
      </c>
      <c r="C28" s="223">
        <v>45</v>
      </c>
      <c r="D28" s="223">
        <v>45</v>
      </c>
      <c r="E28" s="223">
        <v>2205</v>
      </c>
      <c r="F28" s="209">
        <v>49</v>
      </c>
      <c r="H28" s="106"/>
    </row>
    <row r="29" spans="1:8" ht="14.25" customHeight="1">
      <c r="A29" s="12"/>
      <c r="B29" s="12">
        <f t="shared" si="2"/>
        <v>2021</v>
      </c>
      <c r="C29" s="114"/>
      <c r="D29" s="114"/>
      <c r="E29" s="114"/>
      <c r="F29" s="88"/>
      <c r="H29" s="106"/>
    </row>
    <row r="30" spans="1:8" ht="14.25" customHeight="1">
      <c r="A30" s="420"/>
      <c r="B30" s="421"/>
      <c r="C30" s="114"/>
      <c r="D30" s="114"/>
      <c r="E30" s="114"/>
      <c r="F30" s="114"/>
      <c r="H30" s="106"/>
    </row>
    <row r="31" spans="1:8" ht="14.25" customHeight="1"/>
    <row r="32" spans="1:8" ht="14.25" customHeight="1">
      <c r="A32" s="410" t="s">
        <v>27</v>
      </c>
      <c r="B32" s="411"/>
      <c r="C32" s="411"/>
      <c r="D32" s="411"/>
      <c r="E32" s="411"/>
      <c r="F32" s="411"/>
      <c r="G32" s="411"/>
      <c r="H32" s="411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A30:B30"/>
    <mergeCell ref="A32:H32"/>
    <mergeCell ref="A1:G1"/>
    <mergeCell ref="A2:G2"/>
    <mergeCell ref="A3:G3"/>
    <mergeCell ref="A5:A6"/>
    <mergeCell ref="B5:B6"/>
    <mergeCell ref="C5:D5"/>
    <mergeCell ref="E5:F5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000"/>
  <sheetViews>
    <sheetView topLeftCell="A25" workbookViewId="0">
      <selection activeCell="I8" sqref="I8"/>
    </sheetView>
  </sheetViews>
  <sheetFormatPr defaultColWidth="14.42578125" defaultRowHeight="15" customHeight="1"/>
  <cols>
    <col min="1" max="1" width="19.7109375" customWidth="1"/>
    <col min="2" max="2" width="12.28515625" customWidth="1"/>
    <col min="3" max="3" width="11.5703125" customWidth="1"/>
    <col min="4" max="4" width="11.5703125" bestFit="1" customWidth="1"/>
    <col min="5" max="5" width="11.42578125" customWidth="1"/>
    <col min="6" max="6" width="15.85546875" customWidth="1"/>
    <col min="7" max="26" width="8.7109375" customWidth="1"/>
  </cols>
  <sheetData>
    <row r="1" spans="1:6" ht="14.25" customHeight="1">
      <c r="A1" s="429" t="s">
        <v>100</v>
      </c>
      <c r="B1" s="423"/>
      <c r="C1" s="423"/>
      <c r="D1" s="423"/>
      <c r="E1" s="423"/>
      <c r="F1" s="423"/>
    </row>
    <row r="2" spans="1:6" ht="14.25" customHeight="1">
      <c r="A2" s="429" t="s">
        <v>101</v>
      </c>
      <c r="B2" s="423"/>
      <c r="C2" s="423"/>
      <c r="D2" s="423"/>
      <c r="E2" s="423"/>
      <c r="F2" s="423"/>
    </row>
    <row r="3" spans="1:6" ht="14.25" customHeight="1">
      <c r="A3" s="429" t="s">
        <v>102</v>
      </c>
      <c r="B3" s="423"/>
      <c r="C3" s="423"/>
      <c r="D3" s="423"/>
      <c r="E3" s="423"/>
      <c r="F3" s="423"/>
    </row>
    <row r="4" spans="1:6" ht="14.25" customHeight="1">
      <c r="A4" s="120"/>
      <c r="B4" s="121"/>
      <c r="C4" s="122"/>
      <c r="D4" s="122"/>
      <c r="E4" s="123"/>
      <c r="F4" s="122"/>
    </row>
    <row r="5" spans="1:6" ht="14.25" customHeight="1">
      <c r="A5" s="430" t="s">
        <v>3</v>
      </c>
      <c r="B5" s="428" t="s">
        <v>103</v>
      </c>
      <c r="C5" s="428" t="s">
        <v>104</v>
      </c>
      <c r="D5" s="428" t="s">
        <v>105</v>
      </c>
      <c r="E5" s="427" t="s">
        <v>106</v>
      </c>
      <c r="F5" s="428" t="s">
        <v>107</v>
      </c>
    </row>
    <row r="6" spans="1:6" ht="14.25" customHeight="1">
      <c r="A6" s="417"/>
      <c r="B6" s="417"/>
      <c r="C6" s="417"/>
      <c r="D6" s="417"/>
      <c r="E6" s="417"/>
      <c r="F6" s="417"/>
    </row>
    <row r="7" spans="1:6" ht="14.25" customHeight="1">
      <c r="A7" s="409"/>
      <c r="B7" s="409"/>
      <c r="C7" s="409"/>
      <c r="D7" s="409"/>
      <c r="E7" s="409"/>
      <c r="F7" s="409"/>
    </row>
    <row r="8" spans="1:6" ht="14.25" customHeight="1">
      <c r="A8" s="124" t="s">
        <v>8</v>
      </c>
      <c r="B8" s="124" t="s">
        <v>9</v>
      </c>
      <c r="C8" s="124" t="s">
        <v>10</v>
      </c>
      <c r="D8" s="124" t="s">
        <v>11</v>
      </c>
      <c r="E8" s="124" t="s">
        <v>12</v>
      </c>
      <c r="F8" s="124" t="s">
        <v>35</v>
      </c>
    </row>
    <row r="9" spans="1:6" ht="14.25" customHeight="1">
      <c r="A9" s="125" t="s">
        <v>108</v>
      </c>
      <c r="B9" s="126">
        <f>'produksi padi sawah'!B26</f>
        <v>108365.84000000001</v>
      </c>
      <c r="C9" s="126">
        <v>105282.89</v>
      </c>
      <c r="D9" s="126">
        <v>646552.50753000006</v>
      </c>
      <c r="E9" s="303">
        <f>'produksi padi sawah'!E26</f>
        <v>990.51259652840133</v>
      </c>
      <c r="F9" s="126">
        <f>'produksi padi sawah'!F26</f>
        <v>153240.15502533215</v>
      </c>
    </row>
    <row r="10" spans="1:6" ht="14.25" customHeight="1">
      <c r="A10" s="125" t="s">
        <v>109</v>
      </c>
      <c r="B10" s="126">
        <f>'Padi Ladang Produksi'!B26</f>
        <v>466</v>
      </c>
      <c r="C10" s="126">
        <f>'Padi Ladang Produksi'!C26</f>
        <v>1551</v>
      </c>
      <c r="D10" s="126">
        <f>'Padi Ladang Produksi'!D26</f>
        <v>11701.66</v>
      </c>
      <c r="E10" s="382">
        <f>'Padi Ladang Produksi'!E26</f>
        <v>361.96146435884373</v>
      </c>
      <c r="F10" s="129" t="s">
        <v>257</v>
      </c>
    </row>
    <row r="11" spans="1:6" ht="14.25" customHeight="1">
      <c r="A11" s="125" t="s">
        <v>110</v>
      </c>
      <c r="B11" s="126">
        <f>'Produksi Jagung'!B26</f>
        <v>30057</v>
      </c>
      <c r="C11" s="126">
        <f>'Produksi Jagung'!C26</f>
        <v>26469</v>
      </c>
      <c r="D11" s="126">
        <f>'Produksi Jagung'!D26</f>
        <v>189693.36999999997</v>
      </c>
      <c r="E11" s="303">
        <f>'Produksi Jagung'!E26</f>
        <v>925.66325210833497</v>
      </c>
      <c r="F11" s="126">
        <f>'Produksi Jagung'!F26</f>
        <v>40044.309199999996</v>
      </c>
    </row>
    <row r="12" spans="1:6" ht="14.25" customHeight="1">
      <c r="A12" s="125" t="s">
        <v>111</v>
      </c>
      <c r="B12" s="127">
        <f>'ketela pohon produksi'!B26</f>
        <v>173</v>
      </c>
      <c r="C12" s="127">
        <f>'ketela pohon produksi'!C26</f>
        <v>191</v>
      </c>
      <c r="D12" s="126">
        <f>'ketela pohon produksi'!D26</f>
        <v>2706.5840277777779</v>
      </c>
      <c r="E12" s="303">
        <f>'ketela pohon produksi'!E26</f>
        <v>698.51167133520084</v>
      </c>
      <c r="F12" s="129">
        <f>'ketela pohon produksi'!F26</f>
        <v>8294.8926200000024</v>
      </c>
    </row>
    <row r="13" spans="1:6" ht="14.25" customHeight="1">
      <c r="A13" s="125" t="s">
        <v>112</v>
      </c>
      <c r="B13" s="127">
        <f>'ubi jalar produksi'!B26</f>
        <v>2</v>
      </c>
      <c r="C13" s="127">
        <f>'ubi jalar produksi'!C26</f>
        <v>2</v>
      </c>
      <c r="D13" s="127">
        <f>'ubi jalar produksi'!D26</f>
        <v>0</v>
      </c>
      <c r="E13" s="128">
        <f>'ubi jalar produksi'!E26</f>
        <v>0</v>
      </c>
      <c r="F13" s="129">
        <f>'ubi jalar produksi'!F26</f>
        <v>3718.4001400000006</v>
      </c>
    </row>
    <row r="14" spans="1:6" ht="14.25" customHeight="1">
      <c r="A14" s="125" t="s">
        <v>113</v>
      </c>
      <c r="B14" s="385">
        <v>3.2130000000000001</v>
      </c>
      <c r="C14" s="385">
        <v>3.2130000000000001</v>
      </c>
      <c r="D14" s="385">
        <v>4.1130000000000004</v>
      </c>
      <c r="E14" s="131">
        <v>78</v>
      </c>
      <c r="F14" s="131">
        <v>319</v>
      </c>
    </row>
    <row r="15" spans="1:6" ht="14.25" customHeight="1">
      <c r="A15" s="125" t="s">
        <v>114</v>
      </c>
      <c r="B15" s="126">
        <v>522</v>
      </c>
      <c r="C15" s="126">
        <v>497</v>
      </c>
      <c r="D15" s="126">
        <v>50</v>
      </c>
      <c r="E15" s="127">
        <v>7</v>
      </c>
      <c r="F15" s="126">
        <v>108</v>
      </c>
    </row>
    <row r="16" spans="1:6" ht="14.25" customHeight="1">
      <c r="A16" s="125" t="s">
        <v>115</v>
      </c>
      <c r="B16" s="127">
        <v>26</v>
      </c>
      <c r="C16" s="127">
        <v>48</v>
      </c>
      <c r="D16" s="127">
        <v>46</v>
      </c>
      <c r="E16" s="127">
        <v>25</v>
      </c>
      <c r="F16" s="127">
        <v>212</v>
      </c>
    </row>
    <row r="17" spans="1:12" ht="14.25" customHeight="1">
      <c r="A17" s="132" t="s">
        <v>116</v>
      </c>
      <c r="B17" s="386">
        <v>27.631</v>
      </c>
      <c r="C17" s="386">
        <v>27.785</v>
      </c>
      <c r="D17" s="386">
        <v>423.14800000000002</v>
      </c>
      <c r="E17" s="133">
        <v>1.675</v>
      </c>
      <c r="F17" s="386">
        <v>5.4889999999999999</v>
      </c>
    </row>
    <row r="18" spans="1:12" ht="14.25" customHeight="1">
      <c r="A18" s="132" t="s">
        <v>117</v>
      </c>
      <c r="B18" s="438">
        <v>0</v>
      </c>
      <c r="C18" s="438">
        <v>0</v>
      </c>
      <c r="D18" s="438">
        <v>0</v>
      </c>
      <c r="E18" s="442">
        <v>0</v>
      </c>
      <c r="F18" s="438">
        <f>'Bawang Putih Produksi'!F26</f>
        <v>3718.4001400000006</v>
      </c>
    </row>
    <row r="19" spans="1:12" ht="14.25" customHeight="1">
      <c r="A19" s="132" t="s">
        <v>118</v>
      </c>
      <c r="B19" s="129">
        <f>'Bawang Daun Produksi'!B26</f>
        <v>1307</v>
      </c>
      <c r="C19" s="129">
        <f>'Bawang Daun Produksi'!C26</f>
        <v>1309</v>
      </c>
      <c r="D19" s="129">
        <f>'Bawang Daun Produksi'!D26</f>
        <v>14368.9</v>
      </c>
      <c r="E19" s="437">
        <f>'Bawang Daun Produksi'!E26</f>
        <v>216.7452044878755</v>
      </c>
      <c r="F19" s="129">
        <f>'Bawang Daun Produksi'!F26</f>
        <v>956.16003600000022</v>
      </c>
    </row>
    <row r="20" spans="1:12" ht="14.25" customHeight="1">
      <c r="A20" s="132" t="s">
        <v>119</v>
      </c>
      <c r="B20" s="129">
        <f>'Kentang Produksi'!B26</f>
        <v>2311</v>
      </c>
      <c r="C20" s="129">
        <f>'Kentang Produksi'!C26</f>
        <v>2261</v>
      </c>
      <c r="D20" s="129">
        <f>'Kentang Produksi'!D26</f>
        <v>45497</v>
      </c>
      <c r="E20" s="437">
        <f>'Kentang Produksi'!E26</f>
        <v>386.9658255376437</v>
      </c>
      <c r="F20" s="129">
        <f>'Kentang Produksi'!F26</f>
        <v>2337.280088</v>
      </c>
      <c r="H20" s="407"/>
      <c r="I20" s="407"/>
      <c r="J20" s="407"/>
      <c r="K20" s="407"/>
      <c r="L20" s="407"/>
    </row>
    <row r="21" spans="1:12" ht="14.25" customHeight="1">
      <c r="A21" s="132" t="s">
        <v>120</v>
      </c>
      <c r="B21" s="129">
        <v>1267</v>
      </c>
      <c r="C21" s="129">
        <v>1255</v>
      </c>
      <c r="D21" s="129">
        <v>22347</v>
      </c>
      <c r="E21" s="437">
        <v>380</v>
      </c>
      <c r="F21" s="129">
        <v>2124.8000800000004</v>
      </c>
      <c r="H21" s="407"/>
      <c r="I21" s="407"/>
      <c r="J21" s="407"/>
      <c r="K21" s="407"/>
      <c r="L21" s="407"/>
    </row>
    <row r="22" spans="1:12" ht="14.25" customHeight="1">
      <c r="A22" s="132" t="s">
        <v>121</v>
      </c>
      <c r="B22" s="438">
        <v>67</v>
      </c>
      <c r="C22" s="438">
        <v>71</v>
      </c>
      <c r="D22" s="439">
        <v>1065</v>
      </c>
      <c r="E22" s="438">
        <v>150</v>
      </c>
      <c r="F22" s="438">
        <v>1487.360056</v>
      </c>
    </row>
    <row r="23" spans="1:12" ht="14.25" customHeight="1">
      <c r="A23" s="132" t="s">
        <v>122</v>
      </c>
      <c r="B23" s="129">
        <v>781</v>
      </c>
      <c r="C23" s="129">
        <v>709</v>
      </c>
      <c r="D23" s="129">
        <v>10095</v>
      </c>
      <c r="E23" s="437">
        <v>290</v>
      </c>
      <c r="F23" s="129">
        <v>956.16003600000022</v>
      </c>
    </row>
    <row r="24" spans="1:12" ht="14.25" customHeight="1">
      <c r="A24" s="132" t="s">
        <v>123</v>
      </c>
      <c r="B24" s="133">
        <v>70</v>
      </c>
      <c r="C24" s="133">
        <v>66</v>
      </c>
      <c r="D24" s="133">
        <v>84.054000000000002</v>
      </c>
      <c r="E24" s="133">
        <v>18.945937499999999</v>
      </c>
      <c r="F24" s="129">
        <v>3669.3662919999997</v>
      </c>
    </row>
    <row r="25" spans="1:12" ht="14.25" customHeight="1">
      <c r="A25" s="132" t="s">
        <v>124</v>
      </c>
      <c r="B25" s="129">
        <v>1943</v>
      </c>
      <c r="C25" s="129">
        <v>1852</v>
      </c>
      <c r="D25" s="129">
        <v>7178.87</v>
      </c>
      <c r="E25" s="133">
        <v>402.82997176112593</v>
      </c>
      <c r="F25" s="129">
        <v>2782.6708739999999</v>
      </c>
    </row>
    <row r="26" spans="1:12" ht="14.25" customHeight="1">
      <c r="A26" s="132" t="s">
        <v>125</v>
      </c>
      <c r="B26" s="134">
        <v>2336.4499999999998</v>
      </c>
      <c r="C26" s="134">
        <v>2411.5</v>
      </c>
      <c r="D26" s="134">
        <v>11271.648000000001</v>
      </c>
      <c r="E26" s="128">
        <v>327.71281792774096</v>
      </c>
      <c r="F26" s="130">
        <v>3867.5447610000001</v>
      </c>
    </row>
    <row r="27" spans="1:12" ht="14.25" customHeight="1">
      <c r="A27" s="132" t="s">
        <v>126</v>
      </c>
      <c r="B27" s="437">
        <v>295.25</v>
      </c>
      <c r="C27" s="437">
        <v>285.5</v>
      </c>
      <c r="D27" s="437">
        <v>2104.3450000000003</v>
      </c>
      <c r="E27" s="437">
        <v>420.03921809256661</v>
      </c>
      <c r="F27" s="303">
        <v>2868.4801080000002</v>
      </c>
    </row>
    <row r="28" spans="1:12" ht="15" customHeight="1">
      <c r="A28" s="132" t="s">
        <v>127</v>
      </c>
      <c r="B28" s="127">
        <v>201</v>
      </c>
      <c r="C28" s="127">
        <v>194</v>
      </c>
      <c r="D28" s="127">
        <v>1180.67</v>
      </c>
      <c r="E28" s="437">
        <v>260.53052509139252</v>
      </c>
      <c r="F28" s="126">
        <v>4237.3416980000002</v>
      </c>
    </row>
    <row r="29" spans="1:12" ht="14.25" customHeight="1">
      <c r="A29" s="132" t="s">
        <v>128</v>
      </c>
      <c r="B29" s="133">
        <v>198</v>
      </c>
      <c r="C29" s="133">
        <v>185</v>
      </c>
      <c r="D29" s="129">
        <v>846.1</v>
      </c>
      <c r="E29" s="437">
        <v>108.94117647058823</v>
      </c>
      <c r="F29" s="129">
        <v>1487.360056</v>
      </c>
    </row>
    <row r="30" spans="1:12" ht="14.25" customHeight="1">
      <c r="A30" s="132" t="s">
        <v>129</v>
      </c>
      <c r="B30" s="133">
        <v>10.5</v>
      </c>
      <c r="C30" s="133">
        <v>18.5</v>
      </c>
      <c r="D30" s="133">
        <v>15.07</v>
      </c>
      <c r="E30" s="133">
        <v>15.176</v>
      </c>
      <c r="F30" s="129">
        <v>4249.6001600000009</v>
      </c>
    </row>
    <row r="31" spans="1:12" ht="14.25" customHeight="1">
      <c r="A31" s="132" t="s">
        <v>130</v>
      </c>
      <c r="B31" s="128">
        <v>241</v>
      </c>
      <c r="C31" s="128">
        <v>63</v>
      </c>
      <c r="D31" s="134">
        <v>519</v>
      </c>
      <c r="E31" s="128">
        <v>192</v>
      </c>
      <c r="F31" s="134">
        <v>2231.0400840000002</v>
      </c>
    </row>
    <row r="32" spans="1:12" ht="14.25" customHeight="1">
      <c r="A32" s="132" t="s">
        <v>131</v>
      </c>
      <c r="B32" s="133">
        <v>119.4</v>
      </c>
      <c r="C32" s="133">
        <v>115.7</v>
      </c>
      <c r="D32" s="133">
        <v>187.91</v>
      </c>
      <c r="E32" s="437">
        <v>124.55729166666666</v>
      </c>
      <c r="F32" s="129">
        <v>7330.5602760000011</v>
      </c>
    </row>
    <row r="33" spans="1:14" ht="14.25" customHeight="1">
      <c r="A33" s="132" t="s">
        <v>132</v>
      </c>
      <c r="B33" s="129">
        <v>546.82000000000005</v>
      </c>
      <c r="C33" s="129">
        <v>108.57584000000001</v>
      </c>
      <c r="D33" s="129">
        <v>2829.607</v>
      </c>
      <c r="E33" s="441">
        <v>1067168.6999886599</v>
      </c>
      <c r="F33" s="437">
        <v>1593.60006</v>
      </c>
    </row>
    <row r="34" spans="1:14" ht="14.25" customHeight="1">
      <c r="A34" s="132" t="s">
        <v>133</v>
      </c>
      <c r="B34" s="129">
        <v>345.45500000000004</v>
      </c>
      <c r="C34" s="129">
        <v>121.60499999999999</v>
      </c>
      <c r="D34" s="129">
        <v>1272.2249999999999</v>
      </c>
      <c r="E34" s="437">
        <v>1522.4884387238949</v>
      </c>
      <c r="F34" s="437">
        <v>1445.9905200000001</v>
      </c>
    </row>
    <row r="35" spans="1:14" ht="14.25" customHeight="1">
      <c r="A35" s="132" t="s">
        <v>134</v>
      </c>
      <c r="B35" s="129">
        <v>136.45000000000002</v>
      </c>
      <c r="C35" s="129">
        <v>18.410000000000004</v>
      </c>
      <c r="D35" s="133">
        <v>401.40000000000009</v>
      </c>
      <c r="E35" s="437">
        <v>1801.9740641686835</v>
      </c>
      <c r="F35" s="437">
        <v>743.68002799999999</v>
      </c>
      <c r="J35" s="407"/>
      <c r="K35" s="407"/>
      <c r="L35" s="407"/>
      <c r="M35" s="407"/>
      <c r="N35" s="407"/>
    </row>
    <row r="36" spans="1:14" ht="14.25" customHeight="1">
      <c r="A36" s="132" t="s">
        <v>135</v>
      </c>
      <c r="B36" s="129">
        <v>3608.9999999999995</v>
      </c>
      <c r="C36" s="129">
        <v>1159.99</v>
      </c>
      <c r="D36" s="129">
        <v>9862.0300000000007</v>
      </c>
      <c r="E36" s="437">
        <v>1946.6373437122018</v>
      </c>
      <c r="F36" s="129">
        <v>212.48000799999997</v>
      </c>
      <c r="J36" s="289"/>
      <c r="K36" s="289"/>
      <c r="L36" s="289"/>
      <c r="M36" s="289"/>
      <c r="N36" s="289"/>
    </row>
    <row r="37" spans="1:14" ht="14.25" customHeight="1">
      <c r="A37" s="132" t="s">
        <v>136</v>
      </c>
      <c r="B37" s="129">
        <v>380.66999999999996</v>
      </c>
      <c r="C37" s="129">
        <v>96.949999999999989</v>
      </c>
      <c r="D37" s="133">
        <v>535.25</v>
      </c>
      <c r="E37" s="437">
        <v>514.24491229742591</v>
      </c>
      <c r="F37" s="437">
        <v>16998.400640000003</v>
      </c>
    </row>
    <row r="38" spans="1:14" ht="14.25" customHeight="1">
      <c r="A38" s="132" t="s">
        <v>137</v>
      </c>
      <c r="B38" s="129">
        <v>702.2700000000001</v>
      </c>
      <c r="C38" s="129">
        <v>339.95000000000005</v>
      </c>
      <c r="D38" s="133">
        <v>1240.5619999999999</v>
      </c>
      <c r="E38" s="437">
        <v>2374.87478741931</v>
      </c>
      <c r="F38" s="437">
        <v>1381.120052</v>
      </c>
    </row>
    <row r="39" spans="1:14" ht="14.25" customHeight="1">
      <c r="A39" s="132" t="s">
        <v>138</v>
      </c>
      <c r="B39" s="129">
        <v>336.6219999999999</v>
      </c>
      <c r="C39" s="129">
        <v>150.61999999999995</v>
      </c>
      <c r="D39" s="129">
        <v>11950.724999999999</v>
      </c>
      <c r="E39" s="437">
        <v>12868.950647262811</v>
      </c>
      <c r="F39" s="129">
        <v>9774.0803680000008</v>
      </c>
    </row>
    <row r="40" spans="1:14" ht="14.25" customHeight="1">
      <c r="A40" s="132" t="s">
        <v>139</v>
      </c>
      <c r="B40" s="129">
        <v>36.85</v>
      </c>
      <c r="C40" s="129">
        <v>11.09</v>
      </c>
      <c r="D40" s="133">
        <v>111.99999999999999</v>
      </c>
      <c r="E40" s="437">
        <v>2642.96451914099</v>
      </c>
      <c r="F40" s="437">
        <v>318.72001199999994</v>
      </c>
    </row>
    <row r="41" spans="1:14" ht="14.25" customHeight="1">
      <c r="A41" s="132" t="s">
        <v>140</v>
      </c>
      <c r="B41" s="129">
        <v>203.38</v>
      </c>
      <c r="C41" s="129">
        <v>111.55999999999999</v>
      </c>
      <c r="D41" s="129">
        <v>4660.2569999999996</v>
      </c>
      <c r="E41" s="437">
        <v>8000.1859385570942</v>
      </c>
      <c r="F41" s="437">
        <v>318.72001199999994</v>
      </c>
    </row>
    <row r="42" spans="1:14" ht="14.25" customHeight="1">
      <c r="A42" s="132" t="s">
        <v>141</v>
      </c>
      <c r="B42" s="129">
        <v>180.98</v>
      </c>
      <c r="C42" s="129">
        <v>142.24999999999997</v>
      </c>
      <c r="D42" s="129">
        <v>680.73100000000011</v>
      </c>
      <c r="E42" s="437">
        <v>1512.6055895622064</v>
      </c>
      <c r="F42" s="437">
        <v>424.96001599999994</v>
      </c>
    </row>
    <row r="43" spans="1:14" ht="14.25" customHeight="1">
      <c r="A43" s="132" t="s">
        <v>142</v>
      </c>
      <c r="B43" s="129">
        <v>27.013333333333335</v>
      </c>
      <c r="C43" s="129">
        <v>11.873333333333335</v>
      </c>
      <c r="D43" s="133">
        <v>130.05099999999999</v>
      </c>
      <c r="E43" s="437">
        <v>1299.5861184830826</v>
      </c>
      <c r="F43" s="437">
        <v>424.96001599999994</v>
      </c>
    </row>
    <row r="44" spans="1:14" ht="15" customHeight="1">
      <c r="A44" s="132" t="s">
        <v>143</v>
      </c>
      <c r="B44" s="135">
        <v>173.33999999999997</v>
      </c>
      <c r="C44" s="135">
        <v>81.55</v>
      </c>
      <c r="D44" s="136">
        <v>1302.4000000000001</v>
      </c>
      <c r="E44" s="440">
        <v>3021.1095531435253</v>
      </c>
      <c r="F44" s="136">
        <v>424.96001599999994</v>
      </c>
    </row>
    <row r="45" spans="1:14" ht="15" customHeight="1">
      <c r="A45" s="137"/>
      <c r="B45" s="138"/>
      <c r="C45" s="138"/>
      <c r="D45" s="139"/>
      <c r="E45" s="140"/>
      <c r="F45" s="139"/>
    </row>
    <row r="46" spans="1:14" ht="15" customHeight="1">
      <c r="A46" s="137"/>
      <c r="B46" s="138"/>
      <c r="C46" s="138"/>
      <c r="D46" s="139"/>
      <c r="E46" s="140"/>
      <c r="F46" s="139"/>
    </row>
    <row r="47" spans="1:14" ht="14.25" customHeight="1">
      <c r="A47" s="137" t="s">
        <v>144</v>
      </c>
      <c r="B47" s="141"/>
      <c r="C47" s="122"/>
      <c r="D47" s="122"/>
      <c r="E47" s="123"/>
      <c r="F47" s="122"/>
    </row>
    <row r="48" spans="1:14" ht="14.25" customHeight="1">
      <c r="A48" s="142"/>
      <c r="B48" s="122"/>
      <c r="C48" s="122"/>
      <c r="D48" s="122"/>
      <c r="E48" s="123"/>
      <c r="F48" s="122"/>
    </row>
    <row r="49" spans="1:6" ht="14.25" customHeight="1">
      <c r="A49" s="142"/>
      <c r="B49" s="122"/>
      <c r="C49" s="122"/>
      <c r="D49" s="122"/>
      <c r="E49" s="123"/>
      <c r="F49" s="122"/>
    </row>
    <row r="50" spans="1:6" ht="14.25" customHeight="1">
      <c r="A50" s="143"/>
      <c r="B50" s="144"/>
      <c r="C50" s="144"/>
      <c r="D50" s="144"/>
      <c r="E50" s="145"/>
      <c r="F50" s="144"/>
    </row>
    <row r="51" spans="1:6" ht="14.25" customHeight="1">
      <c r="A51" s="143"/>
      <c r="B51" s="144"/>
      <c r="C51" s="144"/>
      <c r="D51" s="144"/>
      <c r="E51" s="145"/>
      <c r="F51" s="144"/>
    </row>
    <row r="52" spans="1:6" ht="14.25" customHeight="1">
      <c r="A52" s="143"/>
      <c r="B52" s="144"/>
      <c r="C52" s="144"/>
      <c r="D52" s="144"/>
      <c r="E52" s="145"/>
      <c r="F52" s="144"/>
    </row>
    <row r="53" spans="1:6" ht="14.25" customHeight="1">
      <c r="A53" s="143"/>
      <c r="B53" s="144"/>
      <c r="C53" s="144"/>
      <c r="D53" s="144"/>
      <c r="E53" s="145"/>
      <c r="F53" s="144"/>
    </row>
    <row r="54" spans="1:6" ht="14.25" customHeight="1">
      <c r="A54" s="143"/>
      <c r="B54" s="144"/>
      <c r="C54" s="144"/>
      <c r="D54" s="144"/>
      <c r="E54" s="145"/>
      <c r="F54" s="144"/>
    </row>
    <row r="55" spans="1:6" ht="14.25" customHeight="1">
      <c r="A55" s="143"/>
      <c r="B55" s="144"/>
      <c r="C55" s="144"/>
      <c r="D55" s="144"/>
      <c r="E55" s="145"/>
      <c r="F55" s="144"/>
    </row>
    <row r="56" spans="1:6" ht="14.25" customHeight="1">
      <c r="A56" s="143"/>
      <c r="B56" s="144"/>
      <c r="C56" s="144"/>
      <c r="D56" s="144"/>
      <c r="E56" s="145"/>
      <c r="F56" s="144"/>
    </row>
    <row r="57" spans="1:6" ht="14.25" customHeight="1">
      <c r="A57" s="143"/>
      <c r="B57" s="144"/>
      <c r="C57" s="144"/>
      <c r="D57" s="144"/>
      <c r="E57" s="145"/>
      <c r="F57" s="144"/>
    </row>
    <row r="58" spans="1:6" ht="14.25" customHeight="1">
      <c r="A58" s="143"/>
      <c r="B58" s="144"/>
      <c r="C58" s="144"/>
      <c r="D58" s="144"/>
      <c r="E58" s="145"/>
      <c r="F58" s="144"/>
    </row>
    <row r="59" spans="1:6" ht="14.25" customHeight="1">
      <c r="A59" s="143"/>
      <c r="B59" s="144"/>
      <c r="C59" s="144"/>
      <c r="D59" s="144"/>
      <c r="E59" s="145"/>
      <c r="F59" s="144"/>
    </row>
    <row r="60" spans="1:6" ht="14.25" customHeight="1">
      <c r="A60" s="143"/>
      <c r="B60" s="144"/>
      <c r="C60" s="144"/>
      <c r="D60" s="144"/>
      <c r="E60" s="145"/>
      <c r="F60" s="144"/>
    </row>
    <row r="61" spans="1:6" ht="14.25" customHeight="1">
      <c r="A61" s="143"/>
      <c r="B61" s="144"/>
      <c r="C61" s="144"/>
      <c r="D61" s="144"/>
      <c r="E61" s="145"/>
      <c r="F61" s="144"/>
    </row>
    <row r="62" spans="1:6" ht="14.25" customHeight="1">
      <c r="A62" s="143"/>
      <c r="B62" s="144"/>
      <c r="C62" s="144"/>
      <c r="D62" s="144"/>
      <c r="E62" s="145"/>
      <c r="F62" s="144"/>
    </row>
    <row r="63" spans="1:6" ht="14.25" customHeight="1">
      <c r="A63" s="143"/>
      <c r="B63" s="144"/>
      <c r="C63" s="144"/>
      <c r="D63" s="144"/>
      <c r="E63" s="145"/>
      <c r="F63" s="144"/>
    </row>
    <row r="64" spans="1:6" ht="14.25" customHeight="1">
      <c r="A64" s="143"/>
      <c r="B64" s="144"/>
      <c r="C64" s="144"/>
      <c r="D64" s="144"/>
      <c r="E64" s="145"/>
      <c r="F64" s="144"/>
    </row>
    <row r="65" spans="1:6" ht="14.25" customHeight="1">
      <c r="A65" s="143"/>
      <c r="B65" s="144"/>
      <c r="C65" s="144"/>
      <c r="D65" s="144"/>
      <c r="E65" s="145"/>
      <c r="F65" s="144"/>
    </row>
    <row r="66" spans="1:6" ht="14.25" customHeight="1">
      <c r="A66" s="143"/>
      <c r="B66" s="144"/>
      <c r="C66" s="144"/>
      <c r="D66" s="144"/>
      <c r="E66" s="145"/>
      <c r="F66" s="144"/>
    </row>
    <row r="67" spans="1:6" ht="14.25" customHeight="1">
      <c r="A67" s="143"/>
      <c r="B67" s="144"/>
      <c r="C67" s="144"/>
      <c r="D67" s="144"/>
      <c r="E67" s="145"/>
      <c r="F67" s="144"/>
    </row>
    <row r="68" spans="1:6" ht="14.25" customHeight="1">
      <c r="A68" s="143"/>
      <c r="B68" s="144"/>
      <c r="C68" s="144"/>
      <c r="D68" s="144"/>
      <c r="E68" s="145"/>
      <c r="F68" s="144"/>
    </row>
    <row r="69" spans="1:6" ht="14.25" customHeight="1">
      <c r="A69" s="143"/>
      <c r="B69" s="144"/>
      <c r="C69" s="144"/>
      <c r="D69" s="144"/>
      <c r="E69" s="145"/>
      <c r="F69" s="144"/>
    </row>
    <row r="70" spans="1:6" ht="14.25" customHeight="1">
      <c r="A70" s="143"/>
      <c r="B70" s="144"/>
      <c r="C70" s="144"/>
      <c r="D70" s="144"/>
      <c r="E70" s="145"/>
      <c r="F70" s="144"/>
    </row>
    <row r="71" spans="1:6" ht="14.25" customHeight="1">
      <c r="A71" s="143"/>
      <c r="B71" s="144"/>
      <c r="C71" s="144"/>
      <c r="D71" s="144"/>
      <c r="E71" s="145"/>
      <c r="F71" s="144"/>
    </row>
    <row r="72" spans="1:6" ht="14.25" customHeight="1">
      <c r="A72" s="143"/>
      <c r="B72" s="144"/>
      <c r="C72" s="144"/>
      <c r="D72" s="144"/>
      <c r="E72" s="145"/>
      <c r="F72" s="144"/>
    </row>
    <row r="73" spans="1:6" ht="14.25" customHeight="1">
      <c r="A73" s="143"/>
      <c r="B73" s="144"/>
      <c r="C73" s="144"/>
      <c r="D73" s="144"/>
      <c r="E73" s="145"/>
      <c r="F73" s="144"/>
    </row>
    <row r="74" spans="1:6" ht="14.25" customHeight="1">
      <c r="A74" s="143"/>
      <c r="B74" s="144"/>
      <c r="C74" s="144"/>
      <c r="D74" s="144"/>
      <c r="E74" s="145"/>
      <c r="F74" s="144"/>
    </row>
    <row r="75" spans="1:6" ht="14.25" customHeight="1">
      <c r="A75" s="143"/>
      <c r="B75" s="144"/>
      <c r="C75" s="144"/>
      <c r="D75" s="144"/>
      <c r="E75" s="145"/>
      <c r="F75" s="144"/>
    </row>
    <row r="76" spans="1:6" ht="14.25" customHeight="1">
      <c r="A76" s="143"/>
      <c r="B76" s="144"/>
      <c r="C76" s="144"/>
      <c r="D76" s="144"/>
      <c r="E76" s="145"/>
      <c r="F76" s="144"/>
    </row>
    <row r="77" spans="1:6" ht="14.25" customHeight="1">
      <c r="A77" s="143"/>
      <c r="B77" s="144"/>
      <c r="C77" s="144"/>
      <c r="D77" s="144"/>
      <c r="E77" s="145"/>
      <c r="F77" s="144"/>
    </row>
    <row r="78" spans="1:6" ht="14.25" customHeight="1">
      <c r="A78" s="143"/>
      <c r="B78" s="144"/>
      <c r="C78" s="144"/>
      <c r="D78" s="144"/>
      <c r="E78" s="145"/>
      <c r="F78" s="144"/>
    </row>
    <row r="79" spans="1:6" ht="14.25" customHeight="1">
      <c r="A79" s="143"/>
      <c r="B79" s="144"/>
      <c r="C79" s="144"/>
      <c r="D79" s="144"/>
      <c r="E79" s="145"/>
      <c r="F79" s="144"/>
    </row>
    <row r="80" spans="1:6" ht="14.25" customHeight="1">
      <c r="A80" s="143"/>
      <c r="B80" s="144"/>
      <c r="C80" s="144"/>
      <c r="D80" s="144"/>
      <c r="E80" s="145"/>
      <c r="F80" s="144"/>
    </row>
    <row r="81" spans="1:6" ht="14.25" customHeight="1">
      <c r="A81" s="143"/>
      <c r="B81" s="144"/>
      <c r="C81" s="144"/>
      <c r="D81" s="144"/>
      <c r="E81" s="145"/>
      <c r="F81" s="144"/>
    </row>
    <row r="82" spans="1:6" ht="14.25" customHeight="1">
      <c r="A82" s="143"/>
      <c r="B82" s="144"/>
      <c r="C82" s="144"/>
      <c r="D82" s="144"/>
      <c r="E82" s="145"/>
      <c r="F82" s="144"/>
    </row>
    <row r="83" spans="1:6" ht="14.25" customHeight="1">
      <c r="A83" s="143"/>
      <c r="B83" s="144"/>
      <c r="C83" s="144"/>
      <c r="D83" s="144"/>
      <c r="E83" s="145"/>
      <c r="F83" s="144"/>
    </row>
    <row r="84" spans="1:6" ht="14.25" customHeight="1">
      <c r="A84" s="143"/>
      <c r="B84" s="144"/>
      <c r="C84" s="144"/>
      <c r="D84" s="144"/>
      <c r="E84" s="145"/>
      <c r="F84" s="144"/>
    </row>
    <row r="85" spans="1:6" ht="14.25" customHeight="1">
      <c r="A85" s="143"/>
      <c r="B85" s="144"/>
      <c r="C85" s="144"/>
      <c r="D85" s="144"/>
      <c r="E85" s="145"/>
      <c r="F85" s="144"/>
    </row>
    <row r="86" spans="1:6" ht="14.25" customHeight="1">
      <c r="A86" s="143"/>
      <c r="B86" s="144"/>
      <c r="C86" s="144"/>
      <c r="D86" s="144"/>
      <c r="E86" s="145"/>
      <c r="F86" s="144"/>
    </row>
    <row r="87" spans="1:6" ht="14.25" customHeight="1">
      <c r="A87" s="143"/>
      <c r="B87" s="144"/>
      <c r="C87" s="144"/>
      <c r="D87" s="144"/>
      <c r="E87" s="145"/>
      <c r="F87" s="144"/>
    </row>
    <row r="88" spans="1:6" ht="14.25" customHeight="1">
      <c r="A88" s="143"/>
      <c r="B88" s="144"/>
      <c r="C88" s="144"/>
      <c r="D88" s="144"/>
      <c r="E88" s="145"/>
      <c r="F88" s="144"/>
    </row>
    <row r="89" spans="1:6" ht="14.25" customHeight="1">
      <c r="A89" s="143"/>
      <c r="B89" s="144"/>
      <c r="C89" s="144"/>
      <c r="D89" s="144"/>
      <c r="E89" s="145"/>
      <c r="F89" s="144"/>
    </row>
    <row r="90" spans="1:6" ht="14.25" customHeight="1">
      <c r="A90" s="143"/>
      <c r="B90" s="144"/>
      <c r="C90" s="144"/>
      <c r="D90" s="144"/>
      <c r="E90" s="145"/>
      <c r="F90" s="144"/>
    </row>
    <row r="91" spans="1:6" ht="14.25" customHeight="1">
      <c r="A91" s="143"/>
      <c r="B91" s="144"/>
      <c r="C91" s="144"/>
      <c r="D91" s="144"/>
      <c r="E91" s="145"/>
      <c r="F91" s="144"/>
    </row>
    <row r="92" spans="1:6" ht="14.25" customHeight="1">
      <c r="A92" s="143"/>
      <c r="B92" s="144"/>
      <c r="C92" s="144"/>
      <c r="D92" s="144"/>
      <c r="E92" s="145"/>
      <c r="F92" s="144"/>
    </row>
    <row r="93" spans="1:6" ht="14.25" customHeight="1">
      <c r="A93" s="143"/>
      <c r="B93" s="144"/>
      <c r="C93" s="144"/>
      <c r="D93" s="144"/>
      <c r="E93" s="145"/>
      <c r="F93" s="144"/>
    </row>
    <row r="94" spans="1:6" ht="14.25" customHeight="1">
      <c r="A94" s="143"/>
      <c r="B94" s="144"/>
      <c r="C94" s="144"/>
      <c r="D94" s="144"/>
      <c r="E94" s="145"/>
      <c r="F94" s="144"/>
    </row>
    <row r="95" spans="1:6" ht="14.25" customHeight="1">
      <c r="A95" s="143"/>
      <c r="B95" s="144"/>
      <c r="C95" s="144"/>
      <c r="D95" s="144"/>
      <c r="E95" s="145"/>
      <c r="F95" s="144"/>
    </row>
    <row r="96" spans="1:6" ht="14.25" customHeight="1">
      <c r="A96" s="143"/>
      <c r="B96" s="144"/>
      <c r="C96" s="144"/>
      <c r="D96" s="144"/>
      <c r="E96" s="145"/>
      <c r="F96" s="144"/>
    </row>
    <row r="97" spans="1:6" ht="14.25" customHeight="1">
      <c r="A97" s="143"/>
      <c r="B97" s="144"/>
      <c r="C97" s="144"/>
      <c r="D97" s="144"/>
      <c r="E97" s="145"/>
      <c r="F97" s="144"/>
    </row>
    <row r="98" spans="1:6" ht="14.25" customHeight="1">
      <c r="A98" s="143"/>
      <c r="B98" s="144"/>
      <c r="C98" s="144"/>
      <c r="D98" s="144"/>
      <c r="E98" s="145"/>
      <c r="F98" s="144"/>
    </row>
    <row r="99" spans="1:6" ht="14.25" customHeight="1">
      <c r="A99" s="143"/>
      <c r="B99" s="144"/>
      <c r="C99" s="144"/>
      <c r="D99" s="144"/>
      <c r="E99" s="145"/>
      <c r="F99" s="144"/>
    </row>
    <row r="100" spans="1:6" ht="14.25" customHeight="1">
      <c r="A100" s="143"/>
      <c r="B100" s="144"/>
      <c r="C100" s="144"/>
      <c r="D100" s="144"/>
      <c r="E100" s="145"/>
      <c r="F100" s="144"/>
    </row>
    <row r="101" spans="1:6" ht="14.25" customHeight="1">
      <c r="A101" s="143"/>
      <c r="B101" s="144"/>
      <c r="C101" s="144"/>
      <c r="D101" s="144"/>
      <c r="E101" s="145"/>
      <c r="F101" s="144"/>
    </row>
    <row r="102" spans="1:6" ht="14.25" customHeight="1">
      <c r="A102" s="143"/>
      <c r="B102" s="144"/>
      <c r="C102" s="144"/>
      <c r="D102" s="144"/>
      <c r="E102" s="145"/>
      <c r="F102" s="144"/>
    </row>
    <row r="103" spans="1:6" ht="14.25" customHeight="1">
      <c r="A103" s="143"/>
      <c r="B103" s="144"/>
      <c r="C103" s="144"/>
      <c r="D103" s="144"/>
      <c r="E103" s="145"/>
      <c r="F103" s="144"/>
    </row>
    <row r="104" spans="1:6" ht="14.25" customHeight="1">
      <c r="A104" s="143"/>
      <c r="B104" s="144"/>
      <c r="C104" s="144"/>
      <c r="D104" s="144"/>
      <c r="E104" s="145"/>
      <c r="F104" s="144"/>
    </row>
    <row r="105" spans="1:6" ht="14.25" customHeight="1">
      <c r="A105" s="143"/>
      <c r="B105" s="144"/>
      <c r="C105" s="144"/>
      <c r="D105" s="144"/>
      <c r="E105" s="145"/>
      <c r="F105" s="144"/>
    </row>
    <row r="106" spans="1:6" ht="14.25" customHeight="1">
      <c r="A106" s="143"/>
      <c r="B106" s="144"/>
      <c r="C106" s="144"/>
      <c r="D106" s="144"/>
      <c r="E106" s="145"/>
      <c r="F106" s="144"/>
    </row>
    <row r="107" spans="1:6" ht="14.25" customHeight="1">
      <c r="A107" s="143"/>
      <c r="B107" s="144"/>
      <c r="C107" s="144"/>
      <c r="D107" s="144"/>
      <c r="E107" s="145"/>
      <c r="F107" s="144"/>
    </row>
    <row r="108" spans="1:6" ht="14.25" customHeight="1">
      <c r="A108" s="143"/>
      <c r="B108" s="144"/>
      <c r="C108" s="144"/>
      <c r="D108" s="144"/>
      <c r="E108" s="145"/>
      <c r="F108" s="144"/>
    </row>
    <row r="109" spans="1:6" ht="14.25" customHeight="1">
      <c r="A109" s="143"/>
      <c r="B109" s="144"/>
      <c r="C109" s="144"/>
      <c r="D109" s="144"/>
      <c r="E109" s="145"/>
      <c r="F109" s="144"/>
    </row>
    <row r="110" spans="1:6" ht="14.25" customHeight="1">
      <c r="A110" s="143"/>
      <c r="B110" s="144"/>
      <c r="C110" s="144"/>
      <c r="D110" s="144"/>
      <c r="E110" s="145"/>
      <c r="F110" s="144"/>
    </row>
    <row r="111" spans="1:6" ht="14.25" customHeight="1">
      <c r="A111" s="143"/>
      <c r="B111" s="144"/>
      <c r="C111" s="144"/>
      <c r="D111" s="144"/>
      <c r="E111" s="145"/>
      <c r="F111" s="144"/>
    </row>
    <row r="112" spans="1:6" ht="14.25" customHeight="1">
      <c r="A112" s="143"/>
      <c r="B112" s="144"/>
      <c r="C112" s="144"/>
      <c r="D112" s="144"/>
      <c r="E112" s="145"/>
      <c r="F112" s="144"/>
    </row>
    <row r="113" spans="1:6" ht="14.25" customHeight="1">
      <c r="A113" s="143"/>
      <c r="B113" s="144"/>
      <c r="C113" s="144"/>
      <c r="D113" s="144"/>
      <c r="E113" s="145"/>
      <c r="F113" s="144"/>
    </row>
    <row r="114" spans="1:6" ht="14.25" customHeight="1">
      <c r="A114" s="143"/>
      <c r="B114" s="144"/>
      <c r="C114" s="144"/>
      <c r="D114" s="144"/>
      <c r="E114" s="145"/>
      <c r="F114" s="144"/>
    </row>
    <row r="115" spans="1:6" ht="14.25" customHeight="1">
      <c r="A115" s="143"/>
      <c r="B115" s="144"/>
      <c r="C115" s="144"/>
      <c r="D115" s="144"/>
      <c r="E115" s="145"/>
      <c r="F115" s="144"/>
    </row>
    <row r="116" spans="1:6" ht="14.25" customHeight="1">
      <c r="A116" s="143"/>
      <c r="B116" s="144"/>
      <c r="C116" s="144"/>
      <c r="D116" s="144"/>
      <c r="E116" s="145"/>
      <c r="F116" s="144"/>
    </row>
    <row r="117" spans="1:6" ht="14.25" customHeight="1">
      <c r="A117" s="143"/>
      <c r="B117" s="144"/>
      <c r="C117" s="144"/>
      <c r="D117" s="144"/>
      <c r="E117" s="145"/>
      <c r="F117" s="144"/>
    </row>
    <row r="118" spans="1:6" ht="14.25" customHeight="1">
      <c r="A118" s="143"/>
      <c r="B118" s="144"/>
      <c r="C118" s="144"/>
      <c r="D118" s="144"/>
      <c r="E118" s="145"/>
      <c r="F118" s="144"/>
    </row>
    <row r="119" spans="1:6" ht="14.25" customHeight="1">
      <c r="A119" s="143"/>
      <c r="B119" s="144"/>
      <c r="C119" s="144"/>
      <c r="D119" s="144"/>
      <c r="E119" s="145"/>
      <c r="F119" s="144"/>
    </row>
    <row r="120" spans="1:6" ht="14.25" customHeight="1">
      <c r="A120" s="143"/>
      <c r="B120" s="144"/>
      <c r="C120" s="144"/>
      <c r="D120" s="144"/>
      <c r="E120" s="145"/>
      <c r="F120" s="144"/>
    </row>
    <row r="121" spans="1:6" ht="14.25" customHeight="1">
      <c r="A121" s="143"/>
      <c r="B121" s="144"/>
      <c r="C121" s="144"/>
      <c r="D121" s="144"/>
      <c r="E121" s="145"/>
      <c r="F121" s="144"/>
    </row>
    <row r="122" spans="1:6" ht="14.25" customHeight="1">
      <c r="A122" s="143"/>
      <c r="B122" s="144"/>
      <c r="C122" s="144"/>
      <c r="D122" s="144"/>
      <c r="E122" s="145"/>
      <c r="F122" s="144"/>
    </row>
    <row r="123" spans="1:6" ht="14.25" customHeight="1">
      <c r="A123" s="143"/>
      <c r="B123" s="144"/>
      <c r="C123" s="144"/>
      <c r="D123" s="144"/>
      <c r="E123" s="145"/>
      <c r="F123" s="144"/>
    </row>
    <row r="124" spans="1:6" ht="14.25" customHeight="1">
      <c r="A124" s="143"/>
      <c r="B124" s="144"/>
      <c r="C124" s="144"/>
      <c r="D124" s="144"/>
      <c r="E124" s="145"/>
      <c r="F124" s="144"/>
    </row>
    <row r="125" spans="1:6" ht="14.25" customHeight="1">
      <c r="A125" s="143"/>
      <c r="B125" s="144"/>
      <c r="C125" s="144"/>
      <c r="D125" s="144"/>
      <c r="E125" s="145"/>
      <c r="F125" s="144"/>
    </row>
    <row r="126" spans="1:6" ht="14.25" customHeight="1">
      <c r="A126" s="143"/>
      <c r="B126" s="144"/>
      <c r="C126" s="144"/>
      <c r="D126" s="144"/>
      <c r="E126" s="145"/>
      <c r="F126" s="144"/>
    </row>
    <row r="127" spans="1:6" ht="14.25" customHeight="1">
      <c r="A127" s="143"/>
      <c r="B127" s="144"/>
      <c r="C127" s="144"/>
      <c r="D127" s="144"/>
      <c r="E127" s="145"/>
      <c r="F127" s="144"/>
    </row>
    <row r="128" spans="1:6" ht="14.25" customHeight="1">
      <c r="A128" s="143"/>
      <c r="B128" s="144"/>
      <c r="C128" s="144"/>
      <c r="D128" s="144"/>
      <c r="E128" s="145"/>
      <c r="F128" s="144"/>
    </row>
    <row r="129" spans="1:6" ht="14.25" customHeight="1">
      <c r="A129" s="143"/>
      <c r="B129" s="144"/>
      <c r="C129" s="144"/>
      <c r="D129" s="144"/>
      <c r="E129" s="145"/>
      <c r="F129" s="144"/>
    </row>
    <row r="130" spans="1:6" ht="14.25" customHeight="1">
      <c r="A130" s="143"/>
      <c r="B130" s="144"/>
      <c r="C130" s="144"/>
      <c r="D130" s="144"/>
      <c r="E130" s="145"/>
      <c r="F130" s="144"/>
    </row>
    <row r="131" spans="1:6" ht="14.25" customHeight="1">
      <c r="A131" s="143"/>
      <c r="B131" s="144"/>
      <c r="C131" s="144"/>
      <c r="D131" s="144"/>
      <c r="E131" s="145"/>
      <c r="F131" s="144"/>
    </row>
    <row r="132" spans="1:6" ht="14.25" customHeight="1">
      <c r="A132" s="143"/>
      <c r="B132" s="144"/>
      <c r="C132" s="144"/>
      <c r="D132" s="144"/>
      <c r="E132" s="145"/>
      <c r="F132" s="144"/>
    </row>
    <row r="133" spans="1:6" ht="14.25" customHeight="1">
      <c r="A133" s="143"/>
      <c r="B133" s="144"/>
      <c r="C133" s="144"/>
      <c r="D133" s="144"/>
      <c r="E133" s="145"/>
      <c r="F133" s="144"/>
    </row>
    <row r="134" spans="1:6" ht="14.25" customHeight="1">
      <c r="A134" s="143"/>
      <c r="B134" s="144"/>
      <c r="C134" s="144"/>
      <c r="D134" s="144"/>
      <c r="E134" s="145"/>
      <c r="F134" s="144"/>
    </row>
    <row r="135" spans="1:6" ht="14.25" customHeight="1">
      <c r="A135" s="143"/>
      <c r="B135" s="144"/>
      <c r="C135" s="144"/>
      <c r="D135" s="144"/>
      <c r="E135" s="145"/>
      <c r="F135" s="144"/>
    </row>
    <row r="136" spans="1:6" ht="14.25" customHeight="1">
      <c r="A136" s="143"/>
      <c r="B136" s="144"/>
      <c r="C136" s="144"/>
      <c r="D136" s="144"/>
      <c r="E136" s="145"/>
      <c r="F136" s="144"/>
    </row>
    <row r="137" spans="1:6" ht="14.25" customHeight="1">
      <c r="A137" s="143"/>
      <c r="B137" s="144"/>
      <c r="C137" s="144"/>
      <c r="D137" s="144"/>
      <c r="E137" s="145"/>
      <c r="F137" s="144"/>
    </row>
    <row r="138" spans="1:6" ht="14.25" customHeight="1">
      <c r="A138" s="143"/>
      <c r="B138" s="144"/>
      <c r="C138" s="144"/>
      <c r="D138" s="144"/>
      <c r="E138" s="145"/>
      <c r="F138" s="144"/>
    </row>
    <row r="139" spans="1:6" ht="14.25" customHeight="1">
      <c r="A139" s="143"/>
      <c r="B139" s="144"/>
      <c r="C139" s="144"/>
      <c r="D139" s="144"/>
      <c r="E139" s="145"/>
      <c r="F139" s="144"/>
    </row>
    <row r="140" spans="1:6" ht="14.25" customHeight="1">
      <c r="A140" s="143"/>
      <c r="B140" s="144"/>
      <c r="C140" s="144"/>
      <c r="D140" s="144"/>
      <c r="E140" s="145"/>
      <c r="F140" s="144"/>
    </row>
    <row r="141" spans="1:6" ht="14.25" customHeight="1">
      <c r="A141" s="143"/>
      <c r="B141" s="144"/>
      <c r="C141" s="144"/>
      <c r="D141" s="144"/>
      <c r="E141" s="145"/>
      <c r="F141" s="144"/>
    </row>
    <row r="142" spans="1:6" ht="14.25" customHeight="1">
      <c r="A142" s="143"/>
      <c r="B142" s="144"/>
      <c r="C142" s="144"/>
      <c r="D142" s="144"/>
      <c r="E142" s="145"/>
      <c r="F142" s="144"/>
    </row>
    <row r="143" spans="1:6" ht="14.25" customHeight="1">
      <c r="A143" s="143"/>
      <c r="B143" s="144"/>
      <c r="C143" s="144"/>
      <c r="D143" s="144"/>
      <c r="E143" s="145"/>
      <c r="F143" s="144"/>
    </row>
    <row r="144" spans="1:6" ht="14.25" customHeight="1">
      <c r="A144" s="143"/>
      <c r="B144" s="144"/>
      <c r="C144" s="144"/>
      <c r="D144" s="144"/>
      <c r="E144" s="145"/>
      <c r="F144" s="144"/>
    </row>
    <row r="145" spans="1:6" ht="14.25" customHeight="1">
      <c r="A145" s="143"/>
      <c r="B145" s="144"/>
      <c r="C145" s="144"/>
      <c r="D145" s="144"/>
      <c r="E145" s="145"/>
      <c r="F145" s="144"/>
    </row>
    <row r="146" spans="1:6" ht="14.25" customHeight="1">
      <c r="A146" s="143"/>
      <c r="B146" s="144"/>
      <c r="C146" s="144"/>
      <c r="D146" s="144"/>
      <c r="E146" s="145"/>
      <c r="F146" s="144"/>
    </row>
    <row r="147" spans="1:6" ht="14.25" customHeight="1">
      <c r="A147" s="143"/>
      <c r="B147" s="144"/>
      <c r="C147" s="144"/>
      <c r="D147" s="144"/>
      <c r="E147" s="145"/>
      <c r="F147" s="144"/>
    </row>
    <row r="148" spans="1:6" ht="14.25" customHeight="1">
      <c r="A148" s="143"/>
      <c r="B148" s="144"/>
      <c r="C148" s="144"/>
      <c r="D148" s="144"/>
      <c r="E148" s="145"/>
      <c r="F148" s="144"/>
    </row>
    <row r="149" spans="1:6" ht="14.25" customHeight="1">
      <c r="A149" s="143"/>
      <c r="B149" s="144"/>
      <c r="C149" s="144"/>
      <c r="D149" s="144"/>
      <c r="E149" s="145"/>
      <c r="F149" s="144"/>
    </row>
    <row r="150" spans="1:6" ht="14.25" customHeight="1">
      <c r="A150" s="143"/>
      <c r="B150" s="144"/>
      <c r="C150" s="144"/>
      <c r="D150" s="144"/>
      <c r="E150" s="145"/>
      <c r="F150" s="144"/>
    </row>
    <row r="151" spans="1:6" ht="14.25" customHeight="1">
      <c r="A151" s="143"/>
      <c r="B151" s="144"/>
      <c r="C151" s="144"/>
      <c r="D151" s="144"/>
      <c r="E151" s="145"/>
      <c r="F151" s="144"/>
    </row>
    <row r="152" spans="1:6" ht="14.25" customHeight="1">
      <c r="A152" s="143"/>
      <c r="B152" s="144"/>
      <c r="C152" s="144"/>
      <c r="D152" s="144"/>
      <c r="E152" s="145"/>
      <c r="F152" s="144"/>
    </row>
    <row r="153" spans="1:6" ht="14.25" customHeight="1">
      <c r="A153" s="143"/>
      <c r="B153" s="144"/>
      <c r="C153" s="144"/>
      <c r="D153" s="144"/>
      <c r="E153" s="145"/>
      <c r="F153" s="144"/>
    </row>
    <row r="154" spans="1:6" ht="14.25" customHeight="1">
      <c r="A154" s="143"/>
      <c r="B154" s="144"/>
      <c r="C154" s="144"/>
      <c r="D154" s="144"/>
      <c r="E154" s="145"/>
      <c r="F154" s="144"/>
    </row>
    <row r="155" spans="1:6" ht="14.25" customHeight="1">
      <c r="A155" s="143"/>
      <c r="B155" s="144"/>
      <c r="C155" s="144"/>
      <c r="D155" s="144"/>
      <c r="E155" s="145"/>
      <c r="F155" s="144"/>
    </row>
    <row r="156" spans="1:6" ht="14.25" customHeight="1">
      <c r="A156" s="143"/>
      <c r="B156" s="144"/>
      <c r="C156" s="144"/>
      <c r="D156" s="144"/>
      <c r="E156" s="145"/>
      <c r="F156" s="144"/>
    </row>
    <row r="157" spans="1:6" ht="14.25" customHeight="1">
      <c r="A157" s="143"/>
      <c r="B157" s="144"/>
      <c r="C157" s="144"/>
      <c r="D157" s="144"/>
      <c r="E157" s="145"/>
      <c r="F157" s="144"/>
    </row>
    <row r="158" spans="1:6" ht="14.25" customHeight="1">
      <c r="A158" s="143"/>
      <c r="B158" s="144"/>
      <c r="C158" s="144"/>
      <c r="D158" s="144"/>
      <c r="E158" s="145"/>
      <c r="F158" s="144"/>
    </row>
    <row r="159" spans="1:6" ht="14.25" customHeight="1">
      <c r="A159" s="143"/>
      <c r="B159" s="144"/>
      <c r="C159" s="144"/>
      <c r="D159" s="144"/>
      <c r="E159" s="145"/>
      <c r="F159" s="144"/>
    </row>
    <row r="160" spans="1:6" ht="14.25" customHeight="1">
      <c r="A160" s="143"/>
      <c r="B160" s="144"/>
      <c r="C160" s="144"/>
      <c r="D160" s="144"/>
      <c r="E160" s="145"/>
      <c r="F160" s="144"/>
    </row>
    <row r="161" spans="1:6" ht="14.25" customHeight="1">
      <c r="A161" s="143"/>
      <c r="B161" s="144"/>
      <c r="C161" s="144"/>
      <c r="D161" s="144"/>
      <c r="E161" s="145"/>
      <c r="F161" s="144"/>
    </row>
    <row r="162" spans="1:6" ht="14.25" customHeight="1">
      <c r="A162" s="143"/>
      <c r="B162" s="144"/>
      <c r="C162" s="144"/>
      <c r="D162" s="144"/>
      <c r="E162" s="145"/>
      <c r="F162" s="144"/>
    </row>
    <row r="163" spans="1:6" ht="14.25" customHeight="1">
      <c r="A163" s="143"/>
      <c r="B163" s="144"/>
      <c r="C163" s="144"/>
      <c r="D163" s="144"/>
      <c r="E163" s="145"/>
      <c r="F163" s="144"/>
    </row>
    <row r="164" spans="1:6" ht="14.25" customHeight="1">
      <c r="A164" s="143"/>
      <c r="B164" s="144"/>
      <c r="C164" s="144"/>
      <c r="D164" s="144"/>
      <c r="E164" s="145"/>
      <c r="F164" s="144"/>
    </row>
    <row r="165" spans="1:6" ht="14.25" customHeight="1">
      <c r="A165" s="143"/>
      <c r="B165" s="144"/>
      <c r="C165" s="144"/>
      <c r="D165" s="144"/>
      <c r="E165" s="145"/>
      <c r="F165" s="144"/>
    </row>
    <row r="166" spans="1:6" ht="14.25" customHeight="1">
      <c r="A166" s="143"/>
      <c r="B166" s="144"/>
      <c r="C166" s="144"/>
      <c r="D166" s="144"/>
      <c r="E166" s="145"/>
      <c r="F166" s="144"/>
    </row>
    <row r="167" spans="1:6" ht="14.25" customHeight="1">
      <c r="A167" s="143"/>
      <c r="B167" s="144"/>
      <c r="C167" s="144"/>
      <c r="D167" s="144"/>
      <c r="E167" s="145"/>
      <c r="F167" s="144"/>
    </row>
    <row r="168" spans="1:6" ht="14.25" customHeight="1">
      <c r="A168" s="143"/>
      <c r="B168" s="144"/>
      <c r="C168" s="144"/>
      <c r="D168" s="144"/>
      <c r="E168" s="145"/>
      <c r="F168" s="144"/>
    </row>
    <row r="169" spans="1:6" ht="14.25" customHeight="1">
      <c r="A169" s="143"/>
      <c r="B169" s="144"/>
      <c r="C169" s="144"/>
      <c r="D169" s="144"/>
      <c r="E169" s="145"/>
      <c r="F169" s="144"/>
    </row>
    <row r="170" spans="1:6" ht="14.25" customHeight="1">
      <c r="A170" s="143"/>
      <c r="B170" s="144"/>
      <c r="C170" s="144"/>
      <c r="D170" s="144"/>
      <c r="E170" s="145"/>
      <c r="F170" s="144"/>
    </row>
    <row r="171" spans="1:6" ht="14.25" customHeight="1">
      <c r="A171" s="143"/>
      <c r="B171" s="144"/>
      <c r="C171" s="144"/>
      <c r="D171" s="144"/>
      <c r="E171" s="145"/>
      <c r="F171" s="144"/>
    </row>
    <row r="172" spans="1:6" ht="14.25" customHeight="1">
      <c r="A172" s="143"/>
      <c r="B172" s="144"/>
      <c r="C172" s="144"/>
      <c r="D172" s="144"/>
      <c r="E172" s="145"/>
      <c r="F172" s="144"/>
    </row>
    <row r="173" spans="1:6" ht="14.25" customHeight="1">
      <c r="A173" s="143"/>
      <c r="B173" s="144"/>
      <c r="C173" s="144"/>
      <c r="D173" s="144"/>
      <c r="E173" s="145"/>
      <c r="F173" s="144"/>
    </row>
    <row r="174" spans="1:6" ht="14.25" customHeight="1">
      <c r="A174" s="143"/>
      <c r="B174" s="144"/>
      <c r="C174" s="144"/>
      <c r="D174" s="144"/>
      <c r="E174" s="145"/>
      <c r="F174" s="144"/>
    </row>
    <row r="175" spans="1:6" ht="14.25" customHeight="1">
      <c r="A175" s="143"/>
      <c r="B175" s="144"/>
      <c r="C175" s="144"/>
      <c r="D175" s="144"/>
      <c r="E175" s="145"/>
      <c r="F175" s="144"/>
    </row>
    <row r="176" spans="1:6" ht="14.25" customHeight="1">
      <c r="A176" s="143"/>
      <c r="B176" s="144"/>
      <c r="C176" s="144"/>
      <c r="D176" s="144"/>
      <c r="E176" s="145"/>
      <c r="F176" s="144"/>
    </row>
    <row r="177" spans="1:6" ht="14.25" customHeight="1">
      <c r="A177" s="143"/>
      <c r="B177" s="144"/>
      <c r="C177" s="144"/>
      <c r="D177" s="144"/>
      <c r="E177" s="145"/>
      <c r="F177" s="144"/>
    </row>
    <row r="178" spans="1:6" ht="14.25" customHeight="1">
      <c r="A178" s="143"/>
      <c r="B178" s="144"/>
      <c r="C178" s="144"/>
      <c r="D178" s="144"/>
      <c r="E178" s="145"/>
      <c r="F178" s="144"/>
    </row>
    <row r="179" spans="1:6" ht="14.25" customHeight="1">
      <c r="A179" s="143"/>
      <c r="B179" s="144"/>
      <c r="C179" s="144"/>
      <c r="D179" s="144"/>
      <c r="E179" s="145"/>
      <c r="F179" s="144"/>
    </row>
    <row r="180" spans="1:6" ht="14.25" customHeight="1">
      <c r="A180" s="143"/>
      <c r="B180" s="144"/>
      <c r="C180" s="144"/>
      <c r="D180" s="144"/>
      <c r="E180" s="145"/>
      <c r="F180" s="144"/>
    </row>
    <row r="181" spans="1:6" ht="14.25" customHeight="1">
      <c r="A181" s="143"/>
      <c r="B181" s="144"/>
      <c r="C181" s="144"/>
      <c r="D181" s="144"/>
      <c r="E181" s="145"/>
      <c r="F181" s="144"/>
    </row>
    <row r="182" spans="1:6" ht="14.25" customHeight="1">
      <c r="A182" s="143"/>
      <c r="B182" s="144"/>
      <c r="C182" s="144"/>
      <c r="D182" s="144"/>
      <c r="E182" s="145"/>
      <c r="F182" s="144"/>
    </row>
    <row r="183" spans="1:6" ht="14.25" customHeight="1">
      <c r="A183" s="143"/>
      <c r="B183" s="144"/>
      <c r="C183" s="144"/>
      <c r="D183" s="144"/>
      <c r="E183" s="145"/>
      <c r="F183" s="144"/>
    </row>
    <row r="184" spans="1:6" ht="14.25" customHeight="1">
      <c r="A184" s="143"/>
      <c r="B184" s="144"/>
      <c r="C184" s="144"/>
      <c r="D184" s="144"/>
      <c r="E184" s="145"/>
      <c r="F184" s="144"/>
    </row>
    <row r="185" spans="1:6" ht="14.25" customHeight="1">
      <c r="A185" s="143"/>
      <c r="B185" s="144"/>
      <c r="C185" s="144"/>
      <c r="D185" s="144"/>
      <c r="E185" s="145"/>
      <c r="F185" s="144"/>
    </row>
    <row r="186" spans="1:6" ht="14.25" customHeight="1">
      <c r="A186" s="143"/>
      <c r="B186" s="144"/>
      <c r="C186" s="144"/>
      <c r="D186" s="144"/>
      <c r="E186" s="145"/>
      <c r="F186" s="144"/>
    </row>
    <row r="187" spans="1:6" ht="14.25" customHeight="1">
      <c r="A187" s="143"/>
      <c r="B187" s="144"/>
      <c r="C187" s="144"/>
      <c r="D187" s="144"/>
      <c r="E187" s="145"/>
      <c r="F187" s="144"/>
    </row>
    <row r="188" spans="1:6" ht="14.25" customHeight="1">
      <c r="A188" s="143"/>
      <c r="B188" s="144"/>
      <c r="C188" s="144"/>
      <c r="D188" s="144"/>
      <c r="E188" s="145"/>
      <c r="F188" s="144"/>
    </row>
    <row r="189" spans="1:6" ht="14.25" customHeight="1">
      <c r="A189" s="143"/>
      <c r="B189" s="144"/>
      <c r="C189" s="144"/>
      <c r="D189" s="144"/>
      <c r="E189" s="145"/>
      <c r="F189" s="144"/>
    </row>
    <row r="190" spans="1:6" ht="14.25" customHeight="1">
      <c r="A190" s="143"/>
      <c r="B190" s="144"/>
      <c r="C190" s="144"/>
      <c r="D190" s="144"/>
      <c r="E190" s="145"/>
      <c r="F190" s="144"/>
    </row>
    <row r="191" spans="1:6" ht="14.25" customHeight="1">
      <c r="A191" s="143"/>
      <c r="B191" s="144"/>
      <c r="C191" s="144"/>
      <c r="D191" s="144"/>
      <c r="E191" s="145"/>
      <c r="F191" s="144"/>
    </row>
    <row r="192" spans="1:6" ht="14.25" customHeight="1">
      <c r="A192" s="143"/>
      <c r="B192" s="144"/>
      <c r="C192" s="144"/>
      <c r="D192" s="144"/>
      <c r="E192" s="145"/>
      <c r="F192" s="144"/>
    </row>
    <row r="193" spans="1:6" ht="14.25" customHeight="1">
      <c r="A193" s="143"/>
      <c r="B193" s="144"/>
      <c r="C193" s="144"/>
      <c r="D193" s="144"/>
      <c r="E193" s="145"/>
      <c r="F193" s="144"/>
    </row>
    <row r="194" spans="1:6" ht="14.25" customHeight="1">
      <c r="A194" s="143"/>
      <c r="B194" s="144"/>
      <c r="C194" s="144"/>
      <c r="D194" s="144"/>
      <c r="E194" s="145"/>
      <c r="F194" s="144"/>
    </row>
    <row r="195" spans="1:6" ht="14.25" customHeight="1">
      <c r="A195" s="143"/>
      <c r="B195" s="144"/>
      <c r="C195" s="144"/>
      <c r="D195" s="144"/>
      <c r="E195" s="145"/>
      <c r="F195" s="144"/>
    </row>
    <row r="196" spans="1:6" ht="14.25" customHeight="1">
      <c r="A196" s="143"/>
      <c r="B196" s="144"/>
      <c r="C196" s="144"/>
      <c r="D196" s="144"/>
      <c r="E196" s="145"/>
      <c r="F196" s="144"/>
    </row>
    <row r="197" spans="1:6" ht="14.25" customHeight="1">
      <c r="A197" s="143"/>
      <c r="B197" s="144"/>
      <c r="C197" s="144"/>
      <c r="D197" s="144"/>
      <c r="E197" s="145"/>
      <c r="F197" s="144"/>
    </row>
    <row r="198" spans="1:6" ht="14.25" customHeight="1">
      <c r="A198" s="143"/>
      <c r="B198" s="144"/>
      <c r="C198" s="144"/>
      <c r="D198" s="144"/>
      <c r="E198" s="145"/>
      <c r="F198" s="144"/>
    </row>
    <row r="199" spans="1:6" ht="14.25" customHeight="1">
      <c r="A199" s="143"/>
      <c r="B199" s="144"/>
      <c r="C199" s="144"/>
      <c r="D199" s="144"/>
      <c r="E199" s="145"/>
      <c r="F199" s="144"/>
    </row>
    <row r="200" spans="1:6" ht="14.25" customHeight="1">
      <c r="A200" s="143"/>
      <c r="B200" s="144"/>
      <c r="C200" s="144"/>
      <c r="D200" s="144"/>
      <c r="E200" s="145"/>
      <c r="F200" s="144"/>
    </row>
    <row r="201" spans="1:6" ht="14.25" customHeight="1">
      <c r="A201" s="143"/>
      <c r="B201" s="144"/>
      <c r="C201" s="144"/>
      <c r="D201" s="144"/>
      <c r="E201" s="145"/>
      <c r="F201" s="144"/>
    </row>
    <row r="202" spans="1:6" ht="14.25" customHeight="1">
      <c r="A202" s="143"/>
      <c r="B202" s="144"/>
      <c r="C202" s="144"/>
      <c r="D202" s="144"/>
      <c r="E202" s="145"/>
      <c r="F202" s="144"/>
    </row>
    <row r="203" spans="1:6" ht="14.25" customHeight="1">
      <c r="A203" s="143"/>
      <c r="B203" s="144"/>
      <c r="C203" s="144"/>
      <c r="D203" s="144"/>
      <c r="E203" s="145"/>
      <c r="F203" s="144"/>
    </row>
    <row r="204" spans="1:6" ht="14.25" customHeight="1">
      <c r="A204" s="143"/>
      <c r="B204" s="144"/>
      <c r="C204" s="144"/>
      <c r="D204" s="144"/>
      <c r="E204" s="145"/>
      <c r="F204" s="144"/>
    </row>
    <row r="205" spans="1:6" ht="14.25" customHeight="1">
      <c r="A205" s="143"/>
      <c r="B205" s="144"/>
      <c r="C205" s="144"/>
      <c r="D205" s="144"/>
      <c r="E205" s="145"/>
      <c r="F205" s="144"/>
    </row>
    <row r="206" spans="1:6" ht="14.25" customHeight="1">
      <c r="A206" s="143"/>
      <c r="B206" s="144"/>
      <c r="C206" s="144"/>
      <c r="D206" s="144"/>
      <c r="E206" s="145"/>
      <c r="F206" s="144"/>
    </row>
    <row r="207" spans="1:6" ht="14.25" customHeight="1">
      <c r="A207" s="143"/>
      <c r="B207" s="144"/>
      <c r="C207" s="144"/>
      <c r="D207" s="144"/>
      <c r="E207" s="145"/>
      <c r="F207" s="144"/>
    </row>
    <row r="208" spans="1:6" ht="14.25" customHeight="1">
      <c r="A208" s="143"/>
      <c r="B208" s="144"/>
      <c r="C208" s="144"/>
      <c r="D208" s="144"/>
      <c r="E208" s="145"/>
      <c r="F208" s="144"/>
    </row>
    <row r="209" spans="1:6" ht="14.25" customHeight="1">
      <c r="A209" s="143"/>
      <c r="B209" s="144"/>
      <c r="C209" s="144"/>
      <c r="D209" s="144"/>
      <c r="E209" s="145"/>
      <c r="F209" s="144"/>
    </row>
    <row r="210" spans="1:6" ht="14.25" customHeight="1">
      <c r="A210" s="143"/>
      <c r="B210" s="144"/>
      <c r="C210" s="144"/>
      <c r="D210" s="144"/>
      <c r="E210" s="145"/>
      <c r="F210" s="144"/>
    </row>
    <row r="211" spans="1:6" ht="14.25" customHeight="1">
      <c r="A211" s="143"/>
      <c r="B211" s="144"/>
      <c r="C211" s="144"/>
      <c r="D211" s="144"/>
      <c r="E211" s="145"/>
      <c r="F211" s="144"/>
    </row>
    <row r="212" spans="1:6" ht="14.25" customHeight="1">
      <c r="A212" s="143"/>
      <c r="B212" s="144"/>
      <c r="C212" s="144"/>
      <c r="D212" s="144"/>
      <c r="E212" s="145"/>
      <c r="F212" s="144"/>
    </row>
    <row r="213" spans="1:6" ht="14.25" customHeight="1">
      <c r="A213" s="143"/>
      <c r="B213" s="144"/>
      <c r="C213" s="144"/>
      <c r="D213" s="144"/>
      <c r="E213" s="145"/>
      <c r="F213" s="144"/>
    </row>
    <row r="214" spans="1:6" ht="14.25" customHeight="1">
      <c r="A214" s="143"/>
      <c r="B214" s="144"/>
      <c r="C214" s="144"/>
      <c r="D214" s="144"/>
      <c r="E214" s="145"/>
      <c r="F214" s="144"/>
    </row>
    <row r="215" spans="1:6" ht="14.25" customHeight="1">
      <c r="A215" s="143"/>
      <c r="B215" s="144"/>
      <c r="C215" s="144"/>
      <c r="D215" s="144"/>
      <c r="E215" s="145"/>
      <c r="F215" s="144"/>
    </row>
    <row r="216" spans="1:6" ht="14.25" customHeight="1">
      <c r="A216" s="143"/>
      <c r="B216" s="144"/>
      <c r="C216" s="144"/>
      <c r="D216" s="144"/>
      <c r="E216" s="145"/>
      <c r="F216" s="144"/>
    </row>
    <row r="217" spans="1:6" ht="14.25" customHeight="1">
      <c r="A217" s="143"/>
      <c r="B217" s="144"/>
      <c r="C217" s="144"/>
      <c r="D217" s="144"/>
      <c r="E217" s="145"/>
      <c r="F217" s="144"/>
    </row>
    <row r="218" spans="1:6" ht="14.25" customHeight="1">
      <c r="A218" s="143"/>
      <c r="B218" s="144"/>
      <c r="C218" s="144"/>
      <c r="D218" s="144"/>
      <c r="E218" s="145"/>
      <c r="F218" s="144"/>
    </row>
    <row r="219" spans="1:6" ht="14.25" customHeight="1">
      <c r="A219" s="143"/>
      <c r="B219" s="144"/>
      <c r="C219" s="144"/>
      <c r="D219" s="144"/>
      <c r="E219" s="145"/>
      <c r="F219" s="144"/>
    </row>
    <row r="220" spans="1:6" ht="14.25" customHeight="1">
      <c r="A220" s="143"/>
      <c r="B220" s="144"/>
      <c r="C220" s="144"/>
      <c r="D220" s="144"/>
      <c r="E220" s="145"/>
      <c r="F220" s="144"/>
    </row>
    <row r="221" spans="1:6" ht="14.25" customHeight="1">
      <c r="A221" s="143"/>
      <c r="B221" s="144"/>
      <c r="C221" s="144"/>
      <c r="D221" s="144"/>
      <c r="E221" s="145"/>
      <c r="F221" s="144"/>
    </row>
    <row r="222" spans="1:6" ht="14.25" customHeight="1">
      <c r="A222" s="143"/>
      <c r="B222" s="144"/>
      <c r="C222" s="144"/>
      <c r="D222" s="144"/>
      <c r="E222" s="145"/>
      <c r="F222" s="144"/>
    </row>
    <row r="223" spans="1:6" ht="14.25" customHeight="1">
      <c r="A223" s="143"/>
      <c r="B223" s="144"/>
      <c r="C223" s="144"/>
      <c r="D223" s="144"/>
      <c r="E223" s="145"/>
      <c r="F223" s="144"/>
    </row>
    <row r="224" spans="1:6" ht="14.25" customHeight="1">
      <c r="A224" s="143"/>
      <c r="B224" s="144"/>
      <c r="C224" s="144"/>
      <c r="D224" s="144"/>
      <c r="E224" s="145"/>
      <c r="F224" s="144"/>
    </row>
    <row r="225" spans="1:6" ht="14.25" customHeight="1">
      <c r="A225" s="143"/>
      <c r="B225" s="144"/>
      <c r="C225" s="144"/>
      <c r="D225" s="144"/>
      <c r="E225" s="145"/>
      <c r="F225" s="144"/>
    </row>
    <row r="226" spans="1:6" ht="14.25" customHeight="1">
      <c r="A226" s="143"/>
      <c r="B226" s="144"/>
      <c r="C226" s="144"/>
      <c r="D226" s="144"/>
      <c r="E226" s="145"/>
      <c r="F226" s="144"/>
    </row>
    <row r="227" spans="1:6" ht="14.25" customHeight="1">
      <c r="A227" s="143"/>
      <c r="B227" s="144"/>
      <c r="C227" s="144"/>
      <c r="D227" s="144"/>
      <c r="E227" s="145"/>
      <c r="F227" s="144"/>
    </row>
    <row r="228" spans="1:6" ht="14.25" customHeight="1">
      <c r="A228" s="143"/>
      <c r="B228" s="144"/>
      <c r="C228" s="144"/>
      <c r="D228" s="144"/>
      <c r="E228" s="145"/>
      <c r="F228" s="144"/>
    </row>
    <row r="229" spans="1:6" ht="14.25" customHeight="1">
      <c r="A229" s="143"/>
      <c r="B229" s="144"/>
      <c r="C229" s="144"/>
      <c r="D229" s="144"/>
      <c r="E229" s="145"/>
      <c r="F229" s="144"/>
    </row>
    <row r="230" spans="1:6" ht="14.25" customHeight="1">
      <c r="A230" s="143"/>
      <c r="B230" s="144"/>
      <c r="C230" s="144"/>
      <c r="D230" s="144"/>
      <c r="E230" s="145"/>
      <c r="F230" s="144"/>
    </row>
    <row r="231" spans="1:6" ht="14.25" customHeight="1">
      <c r="A231" s="143"/>
      <c r="B231" s="144"/>
      <c r="C231" s="144"/>
      <c r="D231" s="144"/>
      <c r="E231" s="145"/>
      <c r="F231" s="144"/>
    </row>
    <row r="232" spans="1:6" ht="14.25" customHeight="1">
      <c r="A232" s="143"/>
      <c r="B232" s="144"/>
      <c r="C232" s="144"/>
      <c r="D232" s="144"/>
      <c r="E232" s="145"/>
      <c r="F232" s="144"/>
    </row>
    <row r="233" spans="1:6" ht="14.25" customHeight="1">
      <c r="A233" s="143"/>
      <c r="B233" s="144"/>
      <c r="C233" s="144"/>
      <c r="D233" s="144"/>
      <c r="E233" s="145"/>
      <c r="F233" s="144"/>
    </row>
    <row r="234" spans="1:6" ht="14.25" customHeight="1">
      <c r="A234" s="143"/>
      <c r="B234" s="144"/>
      <c r="C234" s="144"/>
      <c r="D234" s="144"/>
      <c r="E234" s="145"/>
      <c r="F234" s="144"/>
    </row>
    <row r="235" spans="1:6" ht="14.25" customHeight="1">
      <c r="A235" s="143"/>
      <c r="B235" s="144"/>
      <c r="C235" s="144"/>
      <c r="D235" s="144"/>
      <c r="E235" s="145"/>
      <c r="F235" s="144"/>
    </row>
    <row r="236" spans="1:6" ht="14.25" customHeight="1">
      <c r="A236" s="143"/>
      <c r="B236" s="144"/>
      <c r="C236" s="144"/>
      <c r="D236" s="144"/>
      <c r="E236" s="145"/>
      <c r="F236" s="144"/>
    </row>
    <row r="237" spans="1:6" ht="14.25" customHeight="1">
      <c r="A237" s="143"/>
      <c r="B237" s="144"/>
      <c r="C237" s="144"/>
      <c r="D237" s="144"/>
      <c r="E237" s="145"/>
      <c r="F237" s="144"/>
    </row>
    <row r="238" spans="1:6" ht="14.25" customHeight="1">
      <c r="A238" s="143"/>
      <c r="B238" s="144"/>
      <c r="C238" s="144"/>
      <c r="D238" s="144"/>
      <c r="E238" s="145"/>
      <c r="F238" s="144"/>
    </row>
    <row r="239" spans="1:6" ht="14.25" customHeight="1">
      <c r="A239" s="143"/>
      <c r="B239" s="144"/>
      <c r="C239" s="144"/>
      <c r="D239" s="144"/>
      <c r="E239" s="145"/>
      <c r="F239" s="144"/>
    </row>
    <row r="240" spans="1:6" ht="14.25" customHeight="1">
      <c r="A240" s="143"/>
      <c r="B240" s="144"/>
      <c r="C240" s="144"/>
      <c r="D240" s="144"/>
      <c r="E240" s="145"/>
      <c r="F240" s="144"/>
    </row>
    <row r="241" spans="1:6" ht="14.25" customHeight="1">
      <c r="A241" s="143"/>
      <c r="B241" s="144"/>
      <c r="C241" s="144"/>
      <c r="D241" s="144"/>
      <c r="E241" s="145"/>
      <c r="F241" s="144"/>
    </row>
    <row r="242" spans="1:6" ht="14.25" customHeight="1">
      <c r="A242" s="143"/>
      <c r="B242" s="144"/>
      <c r="C242" s="144"/>
      <c r="D242" s="144"/>
      <c r="E242" s="145"/>
      <c r="F242" s="144"/>
    </row>
    <row r="243" spans="1:6" ht="14.25" customHeight="1">
      <c r="A243" s="143"/>
      <c r="B243" s="144"/>
      <c r="C243" s="144"/>
      <c r="D243" s="144"/>
      <c r="E243" s="145"/>
      <c r="F243" s="144"/>
    </row>
    <row r="244" spans="1:6" ht="14.25" customHeight="1">
      <c r="A244" s="143"/>
      <c r="B244" s="144"/>
      <c r="C244" s="144"/>
      <c r="D244" s="144"/>
      <c r="E244" s="145"/>
      <c r="F244" s="144"/>
    </row>
    <row r="245" spans="1:6" ht="14.25" customHeight="1">
      <c r="A245" s="143"/>
      <c r="B245" s="144"/>
      <c r="C245" s="144"/>
      <c r="D245" s="144"/>
      <c r="E245" s="145"/>
      <c r="F245" s="144"/>
    </row>
    <row r="246" spans="1:6" ht="14.25" customHeight="1">
      <c r="A246" s="143"/>
      <c r="B246" s="144"/>
      <c r="C246" s="144"/>
      <c r="D246" s="144"/>
      <c r="E246" s="145"/>
      <c r="F246" s="144"/>
    </row>
    <row r="247" spans="1:6" ht="14.25" customHeight="1">
      <c r="A247" s="143"/>
      <c r="B247" s="144"/>
      <c r="C247" s="144"/>
      <c r="D247" s="144"/>
      <c r="E247" s="145"/>
      <c r="F247" s="144"/>
    </row>
    <row r="248" spans="1:6" ht="14.25" customHeight="1">
      <c r="A248" s="143"/>
      <c r="B248" s="144"/>
      <c r="C248" s="144"/>
      <c r="D248" s="144"/>
      <c r="E248" s="145"/>
      <c r="F248" s="144"/>
    </row>
    <row r="249" spans="1:6" ht="14.25" customHeight="1">
      <c r="A249" s="143"/>
      <c r="B249" s="144"/>
      <c r="C249" s="144"/>
      <c r="D249" s="144"/>
      <c r="E249" s="145"/>
      <c r="F249" s="144"/>
    </row>
    <row r="250" spans="1:6" ht="14.25" customHeight="1">
      <c r="A250" s="143"/>
      <c r="B250" s="144"/>
      <c r="C250" s="144"/>
      <c r="D250" s="144"/>
      <c r="E250" s="145"/>
      <c r="F250" s="144"/>
    </row>
    <row r="251" spans="1:6" ht="14.25" customHeight="1">
      <c r="A251" s="143"/>
      <c r="B251" s="144"/>
      <c r="C251" s="144"/>
      <c r="D251" s="144"/>
      <c r="E251" s="145"/>
      <c r="F251" s="144"/>
    </row>
    <row r="252" spans="1:6" ht="14.25" customHeight="1">
      <c r="A252" s="143"/>
      <c r="B252" s="144"/>
      <c r="C252" s="144"/>
      <c r="D252" s="144"/>
      <c r="E252" s="145"/>
      <c r="F252" s="144"/>
    </row>
    <row r="253" spans="1:6" ht="14.25" customHeight="1">
      <c r="A253" s="143"/>
      <c r="B253" s="144"/>
      <c r="C253" s="144"/>
      <c r="D253" s="144"/>
      <c r="E253" s="145"/>
      <c r="F253" s="144"/>
    </row>
    <row r="254" spans="1:6" ht="14.25" customHeight="1">
      <c r="A254" s="143"/>
      <c r="B254" s="144"/>
      <c r="C254" s="144"/>
      <c r="D254" s="144"/>
      <c r="E254" s="145"/>
      <c r="F254" s="144"/>
    </row>
    <row r="255" spans="1:6" ht="14.25" customHeight="1">
      <c r="A255" s="143"/>
      <c r="B255" s="144"/>
      <c r="C255" s="144"/>
      <c r="D255" s="144"/>
      <c r="E255" s="145"/>
      <c r="F255" s="144"/>
    </row>
    <row r="256" spans="1:6" ht="14.25" customHeight="1">
      <c r="A256" s="143"/>
      <c r="B256" s="144"/>
      <c r="C256" s="144"/>
      <c r="D256" s="144"/>
      <c r="E256" s="145"/>
      <c r="F256" s="144"/>
    </row>
    <row r="257" spans="1:6" ht="14.25" customHeight="1">
      <c r="A257" s="143"/>
      <c r="B257" s="144"/>
      <c r="C257" s="144"/>
      <c r="D257" s="144"/>
      <c r="E257" s="145"/>
      <c r="F257" s="144"/>
    </row>
    <row r="258" spans="1:6" ht="14.25" customHeight="1">
      <c r="A258" s="143"/>
      <c r="B258" s="144"/>
      <c r="C258" s="144"/>
      <c r="D258" s="144"/>
      <c r="E258" s="145"/>
      <c r="F258" s="144"/>
    </row>
    <row r="259" spans="1:6" ht="14.25" customHeight="1">
      <c r="A259" s="143"/>
      <c r="B259" s="144"/>
      <c r="C259" s="144"/>
      <c r="D259" s="144"/>
      <c r="E259" s="145"/>
      <c r="F259" s="144"/>
    </row>
    <row r="260" spans="1:6" ht="14.25" customHeight="1">
      <c r="A260" s="143"/>
      <c r="B260" s="144"/>
      <c r="C260" s="144"/>
      <c r="D260" s="144"/>
      <c r="E260" s="145"/>
      <c r="F260" s="144"/>
    </row>
    <row r="261" spans="1:6" ht="14.25" customHeight="1">
      <c r="A261" s="143"/>
      <c r="B261" s="144"/>
      <c r="C261" s="144"/>
      <c r="D261" s="144"/>
      <c r="E261" s="145"/>
      <c r="F261" s="144"/>
    </row>
    <row r="262" spans="1:6" ht="14.25" customHeight="1">
      <c r="A262" s="143"/>
      <c r="B262" s="144"/>
      <c r="C262" s="144"/>
      <c r="D262" s="144"/>
      <c r="E262" s="145"/>
      <c r="F262" s="144"/>
    </row>
    <row r="263" spans="1:6" ht="14.25" customHeight="1">
      <c r="A263" s="143"/>
      <c r="B263" s="144"/>
      <c r="C263" s="144"/>
      <c r="D263" s="144"/>
      <c r="E263" s="145"/>
      <c r="F263" s="144"/>
    </row>
    <row r="264" spans="1:6" ht="14.25" customHeight="1">
      <c r="A264" s="143"/>
      <c r="B264" s="144"/>
      <c r="C264" s="144"/>
      <c r="D264" s="144"/>
      <c r="E264" s="145"/>
      <c r="F264" s="144"/>
    </row>
    <row r="265" spans="1:6" ht="14.25" customHeight="1">
      <c r="A265" s="143"/>
      <c r="B265" s="144"/>
      <c r="C265" s="144"/>
      <c r="D265" s="144"/>
      <c r="E265" s="145"/>
      <c r="F265" s="144"/>
    </row>
    <row r="266" spans="1:6" ht="14.25" customHeight="1">
      <c r="A266" s="143"/>
      <c r="B266" s="144"/>
      <c r="C266" s="144"/>
      <c r="D266" s="144"/>
      <c r="E266" s="145"/>
      <c r="F266" s="144"/>
    </row>
    <row r="267" spans="1:6" ht="14.25" customHeight="1">
      <c r="A267" s="143"/>
      <c r="B267" s="144"/>
      <c r="C267" s="144"/>
      <c r="D267" s="144"/>
      <c r="E267" s="145"/>
      <c r="F267" s="144"/>
    </row>
    <row r="268" spans="1:6" ht="14.25" customHeight="1">
      <c r="A268" s="143"/>
      <c r="B268" s="144"/>
      <c r="C268" s="144"/>
      <c r="D268" s="144"/>
      <c r="E268" s="145"/>
      <c r="F268" s="144"/>
    </row>
    <row r="269" spans="1:6" ht="14.25" customHeight="1">
      <c r="A269" s="143"/>
      <c r="B269" s="144"/>
      <c r="C269" s="144"/>
      <c r="D269" s="144"/>
      <c r="E269" s="145"/>
      <c r="F269" s="144"/>
    </row>
    <row r="270" spans="1:6" ht="14.25" customHeight="1">
      <c r="A270" s="143"/>
      <c r="B270" s="144"/>
      <c r="C270" s="144"/>
      <c r="D270" s="144"/>
      <c r="E270" s="145"/>
      <c r="F270" s="144"/>
    </row>
    <row r="271" spans="1:6" ht="14.25" customHeight="1">
      <c r="A271" s="143"/>
      <c r="B271" s="144"/>
      <c r="C271" s="144"/>
      <c r="D271" s="144"/>
      <c r="E271" s="145"/>
      <c r="F271" s="144"/>
    </row>
    <row r="272" spans="1:6" ht="14.25" customHeight="1">
      <c r="A272" s="143"/>
      <c r="B272" s="144"/>
      <c r="C272" s="144"/>
      <c r="D272" s="144"/>
      <c r="E272" s="145"/>
      <c r="F272" s="144"/>
    </row>
    <row r="273" spans="1:6" ht="14.25" customHeight="1">
      <c r="A273" s="143"/>
      <c r="B273" s="144"/>
      <c r="C273" s="144"/>
      <c r="D273" s="144"/>
      <c r="E273" s="145"/>
      <c r="F273" s="144"/>
    </row>
    <row r="274" spans="1:6" ht="14.25" customHeight="1">
      <c r="A274" s="143"/>
      <c r="B274" s="144"/>
      <c r="C274" s="144"/>
      <c r="D274" s="144"/>
      <c r="E274" s="145"/>
      <c r="F274" s="144"/>
    </row>
    <row r="275" spans="1:6" ht="14.25" customHeight="1">
      <c r="A275" s="143"/>
      <c r="B275" s="144"/>
      <c r="C275" s="144"/>
      <c r="D275" s="144"/>
      <c r="E275" s="145"/>
      <c r="F275" s="144"/>
    </row>
    <row r="276" spans="1:6" ht="14.25" customHeight="1">
      <c r="A276" s="143"/>
      <c r="B276" s="144"/>
      <c r="C276" s="144"/>
      <c r="D276" s="144"/>
      <c r="E276" s="145"/>
      <c r="F276" s="144"/>
    </row>
    <row r="277" spans="1:6" ht="14.25" customHeight="1">
      <c r="A277" s="143"/>
      <c r="B277" s="144"/>
      <c r="C277" s="144"/>
      <c r="D277" s="144"/>
      <c r="E277" s="145"/>
      <c r="F277" s="144"/>
    </row>
    <row r="278" spans="1:6" ht="14.25" customHeight="1">
      <c r="A278" s="143"/>
      <c r="B278" s="144"/>
      <c r="C278" s="144"/>
      <c r="D278" s="144"/>
      <c r="E278" s="145"/>
      <c r="F278" s="144"/>
    </row>
    <row r="279" spans="1:6" ht="14.25" customHeight="1">
      <c r="A279" s="143"/>
      <c r="B279" s="144"/>
      <c r="C279" s="144"/>
      <c r="D279" s="144"/>
      <c r="E279" s="145"/>
      <c r="F279" s="144"/>
    </row>
    <row r="280" spans="1:6" ht="14.25" customHeight="1">
      <c r="A280" s="143"/>
      <c r="B280" s="144"/>
      <c r="C280" s="144"/>
      <c r="D280" s="144"/>
      <c r="E280" s="145"/>
      <c r="F280" s="144"/>
    </row>
    <row r="281" spans="1:6" ht="14.25" customHeight="1">
      <c r="A281" s="143"/>
      <c r="B281" s="144"/>
      <c r="C281" s="144"/>
      <c r="D281" s="144"/>
      <c r="E281" s="145"/>
      <c r="F281" s="144"/>
    </row>
    <row r="282" spans="1:6" ht="14.25" customHeight="1">
      <c r="A282" s="143"/>
      <c r="B282" s="144"/>
      <c r="C282" s="144"/>
      <c r="D282" s="144"/>
      <c r="E282" s="145"/>
      <c r="F282" s="144"/>
    </row>
    <row r="283" spans="1:6" ht="14.25" customHeight="1">
      <c r="A283" s="143"/>
      <c r="B283" s="144"/>
      <c r="C283" s="144"/>
      <c r="D283" s="144"/>
      <c r="E283" s="145"/>
      <c r="F283" s="144"/>
    </row>
    <row r="284" spans="1:6" ht="14.25" customHeight="1">
      <c r="A284" s="143"/>
      <c r="B284" s="144"/>
      <c r="C284" s="144"/>
      <c r="D284" s="144"/>
      <c r="E284" s="145"/>
      <c r="F284" s="144"/>
    </row>
    <row r="285" spans="1:6" ht="14.25" customHeight="1">
      <c r="A285" s="143"/>
      <c r="B285" s="144"/>
      <c r="C285" s="144"/>
      <c r="D285" s="144"/>
      <c r="E285" s="145"/>
      <c r="F285" s="144"/>
    </row>
    <row r="286" spans="1:6" ht="14.25" customHeight="1">
      <c r="A286" s="143"/>
      <c r="B286" s="144"/>
      <c r="C286" s="144"/>
      <c r="D286" s="144"/>
      <c r="E286" s="145"/>
      <c r="F286" s="144"/>
    </row>
    <row r="287" spans="1:6" ht="14.25" customHeight="1">
      <c r="A287" s="143"/>
      <c r="B287" s="144"/>
      <c r="C287" s="144"/>
      <c r="D287" s="144"/>
      <c r="E287" s="145"/>
      <c r="F287" s="144"/>
    </row>
    <row r="288" spans="1:6" ht="14.25" customHeight="1">
      <c r="A288" s="143"/>
      <c r="B288" s="144"/>
      <c r="C288" s="144"/>
      <c r="D288" s="144"/>
      <c r="E288" s="145"/>
      <c r="F288" s="144"/>
    </row>
    <row r="289" spans="1:6" ht="14.25" customHeight="1">
      <c r="A289" s="143"/>
      <c r="B289" s="144"/>
      <c r="C289" s="144"/>
      <c r="D289" s="144"/>
      <c r="E289" s="145"/>
      <c r="F289" s="144"/>
    </row>
    <row r="290" spans="1:6" ht="14.25" customHeight="1">
      <c r="A290" s="143"/>
      <c r="B290" s="144"/>
      <c r="C290" s="144"/>
      <c r="D290" s="144"/>
      <c r="E290" s="145"/>
      <c r="F290" s="144"/>
    </row>
    <row r="291" spans="1:6" ht="14.25" customHeight="1">
      <c r="A291" s="143"/>
      <c r="B291" s="144"/>
      <c r="C291" s="144"/>
      <c r="D291" s="144"/>
      <c r="E291" s="145"/>
      <c r="F291" s="144"/>
    </row>
    <row r="292" spans="1:6" ht="14.25" customHeight="1">
      <c r="A292" s="143"/>
      <c r="B292" s="144"/>
      <c r="C292" s="144"/>
      <c r="D292" s="144"/>
      <c r="E292" s="145"/>
      <c r="F292" s="144"/>
    </row>
    <row r="293" spans="1:6" ht="14.25" customHeight="1">
      <c r="A293" s="143"/>
      <c r="B293" s="144"/>
      <c r="C293" s="144"/>
      <c r="D293" s="144"/>
      <c r="E293" s="145"/>
      <c r="F293" s="144"/>
    </row>
    <row r="294" spans="1:6" ht="14.25" customHeight="1">
      <c r="A294" s="143"/>
      <c r="B294" s="144"/>
      <c r="C294" s="144"/>
      <c r="D294" s="144"/>
      <c r="E294" s="145"/>
      <c r="F294" s="144"/>
    </row>
    <row r="295" spans="1:6" ht="14.25" customHeight="1">
      <c r="A295" s="143"/>
      <c r="B295" s="144"/>
      <c r="C295" s="144"/>
      <c r="D295" s="144"/>
      <c r="E295" s="145"/>
      <c r="F295" s="144"/>
    </row>
    <row r="296" spans="1:6" ht="14.25" customHeight="1">
      <c r="A296" s="143"/>
      <c r="B296" s="144"/>
      <c r="C296" s="144"/>
      <c r="D296" s="144"/>
      <c r="E296" s="145"/>
      <c r="F296" s="144"/>
    </row>
    <row r="297" spans="1:6" ht="14.25" customHeight="1">
      <c r="A297" s="143"/>
      <c r="B297" s="144"/>
      <c r="C297" s="144"/>
      <c r="D297" s="144"/>
      <c r="E297" s="145"/>
      <c r="F297" s="144"/>
    </row>
    <row r="298" spans="1:6" ht="14.25" customHeight="1">
      <c r="A298" s="143"/>
      <c r="B298" s="144"/>
      <c r="C298" s="144"/>
      <c r="D298" s="144"/>
      <c r="E298" s="145"/>
      <c r="F298" s="144"/>
    </row>
    <row r="299" spans="1:6" ht="14.25" customHeight="1">
      <c r="A299" s="143"/>
      <c r="B299" s="144"/>
      <c r="C299" s="144"/>
      <c r="D299" s="144"/>
      <c r="E299" s="145"/>
      <c r="F299" s="144"/>
    </row>
    <row r="300" spans="1:6" ht="14.25" customHeight="1">
      <c r="A300" s="143"/>
      <c r="B300" s="144"/>
      <c r="C300" s="144"/>
      <c r="D300" s="144"/>
      <c r="E300" s="145"/>
      <c r="F300" s="144"/>
    </row>
    <row r="301" spans="1:6" ht="14.25" customHeight="1">
      <c r="A301" s="143"/>
      <c r="B301" s="144"/>
      <c r="C301" s="144"/>
      <c r="D301" s="144"/>
      <c r="E301" s="145"/>
      <c r="F301" s="144"/>
    </row>
    <row r="302" spans="1:6" ht="14.25" customHeight="1">
      <c r="A302" s="143"/>
      <c r="B302" s="144"/>
      <c r="C302" s="144"/>
      <c r="D302" s="144"/>
      <c r="E302" s="145"/>
      <c r="F302" s="144"/>
    </row>
    <row r="303" spans="1:6" ht="14.25" customHeight="1">
      <c r="A303" s="143"/>
      <c r="B303" s="144"/>
      <c r="C303" s="144"/>
      <c r="D303" s="144"/>
      <c r="E303" s="145"/>
      <c r="F303" s="144"/>
    </row>
    <row r="304" spans="1:6" ht="14.25" customHeight="1">
      <c r="A304" s="143"/>
      <c r="B304" s="144"/>
      <c r="C304" s="144"/>
      <c r="D304" s="144"/>
      <c r="E304" s="145"/>
      <c r="F304" s="144"/>
    </row>
    <row r="305" spans="1:6" ht="14.25" customHeight="1">
      <c r="A305" s="143"/>
      <c r="B305" s="144"/>
      <c r="C305" s="144"/>
      <c r="D305" s="144"/>
      <c r="E305" s="145"/>
      <c r="F305" s="144"/>
    </row>
    <row r="306" spans="1:6" ht="14.25" customHeight="1">
      <c r="A306" s="143"/>
      <c r="B306" s="144"/>
      <c r="C306" s="144"/>
      <c r="D306" s="144"/>
      <c r="E306" s="145"/>
      <c r="F306" s="144"/>
    </row>
    <row r="307" spans="1:6" ht="14.25" customHeight="1">
      <c r="A307" s="143"/>
      <c r="B307" s="144"/>
      <c r="C307" s="144"/>
      <c r="D307" s="144"/>
      <c r="E307" s="145"/>
      <c r="F307" s="144"/>
    </row>
    <row r="308" spans="1:6" ht="14.25" customHeight="1">
      <c r="A308" s="143"/>
      <c r="B308" s="144"/>
      <c r="C308" s="144"/>
      <c r="D308" s="144"/>
      <c r="E308" s="145"/>
      <c r="F308" s="144"/>
    </row>
    <row r="309" spans="1:6" ht="14.25" customHeight="1">
      <c r="A309" s="143"/>
      <c r="B309" s="144"/>
      <c r="C309" s="144"/>
      <c r="D309" s="144"/>
      <c r="E309" s="145"/>
      <c r="F309" s="144"/>
    </row>
    <row r="310" spans="1:6" ht="14.25" customHeight="1">
      <c r="A310" s="143"/>
      <c r="B310" s="144"/>
      <c r="C310" s="144"/>
      <c r="D310" s="144"/>
      <c r="E310" s="145"/>
      <c r="F310" s="144"/>
    </row>
    <row r="311" spans="1:6" ht="14.25" customHeight="1">
      <c r="A311" s="143"/>
      <c r="B311" s="144"/>
      <c r="C311" s="144"/>
      <c r="D311" s="144"/>
      <c r="E311" s="145"/>
      <c r="F311" s="144"/>
    </row>
    <row r="312" spans="1:6" ht="14.25" customHeight="1">
      <c r="A312" s="143"/>
      <c r="B312" s="144"/>
      <c r="C312" s="144"/>
      <c r="D312" s="144"/>
      <c r="E312" s="145"/>
      <c r="F312" s="144"/>
    </row>
    <row r="313" spans="1:6" ht="14.25" customHeight="1">
      <c r="A313" s="143"/>
      <c r="B313" s="144"/>
      <c r="C313" s="144"/>
      <c r="D313" s="144"/>
      <c r="E313" s="145"/>
      <c r="F313" s="144"/>
    </row>
    <row r="314" spans="1:6" ht="14.25" customHeight="1">
      <c r="A314" s="143"/>
      <c r="B314" s="144"/>
      <c r="C314" s="144"/>
      <c r="D314" s="144"/>
      <c r="E314" s="145"/>
      <c r="F314" s="144"/>
    </row>
    <row r="315" spans="1:6" ht="14.25" customHeight="1">
      <c r="A315" s="143"/>
      <c r="B315" s="144"/>
      <c r="C315" s="144"/>
      <c r="D315" s="144"/>
      <c r="E315" s="145"/>
      <c r="F315" s="144"/>
    </row>
    <row r="316" spans="1:6" ht="14.25" customHeight="1">
      <c r="A316" s="143"/>
      <c r="B316" s="144"/>
      <c r="C316" s="144"/>
      <c r="D316" s="144"/>
      <c r="E316" s="145"/>
      <c r="F316" s="144"/>
    </row>
    <row r="317" spans="1:6" ht="14.25" customHeight="1">
      <c r="A317" s="143"/>
      <c r="B317" s="144"/>
      <c r="C317" s="144"/>
      <c r="D317" s="144"/>
      <c r="E317" s="145"/>
      <c r="F317" s="144"/>
    </row>
    <row r="318" spans="1:6" ht="14.25" customHeight="1">
      <c r="A318" s="143"/>
      <c r="B318" s="144"/>
      <c r="C318" s="144"/>
      <c r="D318" s="144"/>
      <c r="E318" s="145"/>
      <c r="F318" s="144"/>
    </row>
    <row r="319" spans="1:6" ht="14.25" customHeight="1">
      <c r="A319" s="143"/>
      <c r="B319" s="144"/>
      <c r="C319" s="144"/>
      <c r="D319" s="144"/>
      <c r="E319" s="145"/>
      <c r="F319" s="144"/>
    </row>
    <row r="320" spans="1:6" ht="14.25" customHeight="1">
      <c r="A320" s="143"/>
      <c r="B320" s="144"/>
      <c r="C320" s="144"/>
      <c r="D320" s="144"/>
      <c r="E320" s="145"/>
      <c r="F320" s="144"/>
    </row>
    <row r="321" spans="1:6" ht="14.25" customHeight="1">
      <c r="A321" s="143"/>
      <c r="B321" s="144"/>
      <c r="C321" s="144"/>
      <c r="D321" s="144"/>
      <c r="E321" s="145"/>
      <c r="F321" s="144"/>
    </row>
    <row r="322" spans="1:6" ht="14.25" customHeight="1">
      <c r="A322" s="143"/>
      <c r="B322" s="144"/>
      <c r="C322" s="144"/>
      <c r="D322" s="144"/>
      <c r="E322" s="145"/>
      <c r="F322" s="144"/>
    </row>
    <row r="323" spans="1:6" ht="14.25" customHeight="1">
      <c r="A323" s="143"/>
      <c r="B323" s="144"/>
      <c r="C323" s="144"/>
      <c r="D323" s="144"/>
      <c r="E323" s="145"/>
      <c r="F323" s="144"/>
    </row>
    <row r="324" spans="1:6" ht="14.25" customHeight="1">
      <c r="A324" s="143"/>
      <c r="B324" s="144"/>
      <c r="C324" s="144"/>
      <c r="D324" s="144"/>
      <c r="E324" s="145"/>
      <c r="F324" s="144"/>
    </row>
    <row r="325" spans="1:6" ht="14.25" customHeight="1">
      <c r="A325" s="143"/>
      <c r="B325" s="144"/>
      <c r="C325" s="144"/>
      <c r="D325" s="144"/>
      <c r="E325" s="145"/>
      <c r="F325" s="144"/>
    </row>
    <row r="326" spans="1:6" ht="14.25" customHeight="1">
      <c r="A326" s="143"/>
      <c r="B326" s="144"/>
      <c r="C326" s="144"/>
      <c r="D326" s="144"/>
      <c r="E326" s="145"/>
      <c r="F326" s="144"/>
    </row>
    <row r="327" spans="1:6" ht="14.25" customHeight="1">
      <c r="A327" s="143"/>
      <c r="B327" s="144"/>
      <c r="C327" s="144"/>
      <c r="D327" s="144"/>
      <c r="E327" s="145"/>
      <c r="F327" s="144"/>
    </row>
    <row r="328" spans="1:6" ht="14.25" customHeight="1">
      <c r="A328" s="143"/>
      <c r="B328" s="144"/>
      <c r="C328" s="144"/>
      <c r="D328" s="144"/>
      <c r="E328" s="145"/>
      <c r="F328" s="144"/>
    </row>
    <row r="329" spans="1:6" ht="14.25" customHeight="1">
      <c r="A329" s="143"/>
      <c r="B329" s="144"/>
      <c r="C329" s="144"/>
      <c r="D329" s="144"/>
      <c r="E329" s="145"/>
      <c r="F329" s="144"/>
    </row>
    <row r="330" spans="1:6" ht="14.25" customHeight="1">
      <c r="A330" s="143"/>
      <c r="B330" s="144"/>
      <c r="C330" s="144"/>
      <c r="D330" s="144"/>
      <c r="E330" s="145"/>
      <c r="F330" s="144"/>
    </row>
    <row r="331" spans="1:6" ht="14.25" customHeight="1">
      <c r="A331" s="143"/>
      <c r="B331" s="144"/>
      <c r="C331" s="144"/>
      <c r="D331" s="144"/>
      <c r="E331" s="145"/>
      <c r="F331" s="144"/>
    </row>
    <row r="332" spans="1:6" ht="14.25" customHeight="1">
      <c r="A332" s="143"/>
      <c r="B332" s="144"/>
      <c r="C332" s="144"/>
      <c r="D332" s="144"/>
      <c r="E332" s="145"/>
      <c r="F332" s="144"/>
    </row>
    <row r="333" spans="1:6" ht="14.25" customHeight="1">
      <c r="A333" s="143"/>
      <c r="B333" s="144"/>
      <c r="C333" s="144"/>
      <c r="D333" s="144"/>
      <c r="E333" s="145"/>
      <c r="F333" s="144"/>
    </row>
    <row r="334" spans="1:6" ht="14.25" customHeight="1">
      <c r="A334" s="143"/>
      <c r="B334" s="144"/>
      <c r="C334" s="144"/>
      <c r="D334" s="144"/>
      <c r="E334" s="145"/>
      <c r="F334" s="144"/>
    </row>
    <row r="335" spans="1:6" ht="14.25" customHeight="1">
      <c r="A335" s="143"/>
      <c r="B335" s="144"/>
      <c r="C335" s="144"/>
      <c r="D335" s="144"/>
      <c r="E335" s="145"/>
      <c r="F335" s="144"/>
    </row>
    <row r="336" spans="1:6" ht="14.25" customHeight="1">
      <c r="A336" s="143"/>
      <c r="B336" s="144"/>
      <c r="C336" s="144"/>
      <c r="D336" s="144"/>
      <c r="E336" s="145"/>
      <c r="F336" s="144"/>
    </row>
    <row r="337" spans="1:6" ht="14.25" customHeight="1">
      <c r="A337" s="143"/>
      <c r="B337" s="144"/>
      <c r="C337" s="144"/>
      <c r="D337" s="144"/>
      <c r="E337" s="145"/>
      <c r="F337" s="144"/>
    </row>
    <row r="338" spans="1:6" ht="14.25" customHeight="1">
      <c r="A338" s="143"/>
      <c r="B338" s="144"/>
      <c r="C338" s="144"/>
      <c r="D338" s="144"/>
      <c r="E338" s="145"/>
      <c r="F338" s="144"/>
    </row>
    <row r="339" spans="1:6" ht="14.25" customHeight="1">
      <c r="A339" s="143"/>
      <c r="B339" s="144"/>
      <c r="C339" s="144"/>
      <c r="D339" s="144"/>
      <c r="E339" s="145"/>
      <c r="F339" s="144"/>
    </row>
    <row r="340" spans="1:6" ht="14.25" customHeight="1">
      <c r="A340" s="143"/>
      <c r="B340" s="144"/>
      <c r="C340" s="144"/>
      <c r="D340" s="144"/>
      <c r="E340" s="145"/>
      <c r="F340" s="144"/>
    </row>
    <row r="341" spans="1:6" ht="14.25" customHeight="1">
      <c r="A341" s="143"/>
      <c r="B341" s="144"/>
      <c r="C341" s="144"/>
      <c r="D341" s="144"/>
      <c r="E341" s="145"/>
      <c r="F341" s="144"/>
    </row>
    <row r="342" spans="1:6" ht="14.25" customHeight="1">
      <c r="A342" s="143"/>
      <c r="B342" s="144"/>
      <c r="C342" s="144"/>
      <c r="D342" s="144"/>
      <c r="E342" s="145"/>
      <c r="F342" s="144"/>
    </row>
    <row r="343" spans="1:6" ht="14.25" customHeight="1">
      <c r="A343" s="143"/>
      <c r="B343" s="144"/>
      <c r="C343" s="144"/>
      <c r="D343" s="144"/>
      <c r="E343" s="145"/>
      <c r="F343" s="144"/>
    </row>
    <row r="344" spans="1:6" ht="14.25" customHeight="1">
      <c r="A344" s="143"/>
      <c r="B344" s="144"/>
      <c r="C344" s="144"/>
      <c r="D344" s="144"/>
      <c r="E344" s="145"/>
      <c r="F344" s="144"/>
    </row>
    <row r="345" spans="1:6" ht="14.25" customHeight="1">
      <c r="A345" s="143"/>
      <c r="B345" s="144"/>
      <c r="C345" s="144"/>
      <c r="D345" s="144"/>
      <c r="E345" s="145"/>
      <c r="F345" s="144"/>
    </row>
    <row r="346" spans="1:6" ht="14.25" customHeight="1">
      <c r="A346" s="143"/>
      <c r="B346" s="144"/>
      <c r="C346" s="144"/>
      <c r="D346" s="144"/>
      <c r="E346" s="145"/>
      <c r="F346" s="144"/>
    </row>
    <row r="347" spans="1:6" ht="14.25" customHeight="1">
      <c r="A347" s="143"/>
      <c r="B347" s="144"/>
      <c r="C347" s="144"/>
      <c r="D347" s="144"/>
      <c r="E347" s="145"/>
      <c r="F347" s="144"/>
    </row>
    <row r="348" spans="1:6" ht="14.25" customHeight="1">
      <c r="A348" s="143"/>
      <c r="B348" s="144"/>
      <c r="C348" s="144"/>
      <c r="D348" s="144"/>
      <c r="E348" s="145"/>
      <c r="F348" s="144"/>
    </row>
    <row r="349" spans="1:6" ht="14.25" customHeight="1">
      <c r="A349" s="143"/>
      <c r="B349" s="144"/>
      <c r="C349" s="144"/>
      <c r="D349" s="144"/>
      <c r="E349" s="145"/>
      <c r="F349" s="144"/>
    </row>
    <row r="350" spans="1:6" ht="14.25" customHeight="1">
      <c r="A350" s="143"/>
      <c r="B350" s="144"/>
      <c r="C350" s="144"/>
      <c r="D350" s="144"/>
      <c r="E350" s="145"/>
      <c r="F350" s="144"/>
    </row>
    <row r="351" spans="1:6" ht="14.25" customHeight="1">
      <c r="A351" s="143"/>
      <c r="B351" s="144"/>
      <c r="C351" s="144"/>
      <c r="D351" s="144"/>
      <c r="E351" s="145"/>
      <c r="F351" s="144"/>
    </row>
    <row r="352" spans="1:6" ht="14.25" customHeight="1">
      <c r="A352" s="143"/>
      <c r="B352" s="144"/>
      <c r="C352" s="144"/>
      <c r="D352" s="144"/>
      <c r="E352" s="145"/>
      <c r="F352" s="144"/>
    </row>
    <row r="353" spans="1:6" ht="14.25" customHeight="1">
      <c r="A353" s="143"/>
      <c r="B353" s="144"/>
      <c r="C353" s="144"/>
      <c r="D353" s="144"/>
      <c r="E353" s="145"/>
      <c r="F353" s="144"/>
    </row>
    <row r="354" spans="1:6" ht="14.25" customHeight="1">
      <c r="A354" s="143"/>
      <c r="B354" s="144"/>
      <c r="C354" s="144"/>
      <c r="D354" s="144"/>
      <c r="E354" s="145"/>
      <c r="F354" s="144"/>
    </row>
    <row r="355" spans="1:6" ht="14.25" customHeight="1">
      <c r="A355" s="143"/>
      <c r="B355" s="144"/>
      <c r="C355" s="144"/>
      <c r="D355" s="144"/>
      <c r="E355" s="145"/>
      <c r="F355" s="144"/>
    </row>
    <row r="356" spans="1:6" ht="14.25" customHeight="1">
      <c r="A356" s="143"/>
      <c r="B356" s="144"/>
      <c r="C356" s="144"/>
      <c r="D356" s="144"/>
      <c r="E356" s="145"/>
      <c r="F356" s="144"/>
    </row>
    <row r="357" spans="1:6" ht="14.25" customHeight="1">
      <c r="A357" s="143"/>
      <c r="B357" s="144"/>
      <c r="C357" s="144"/>
      <c r="D357" s="144"/>
      <c r="E357" s="145"/>
      <c r="F357" s="144"/>
    </row>
    <row r="358" spans="1:6" ht="14.25" customHeight="1">
      <c r="A358" s="143"/>
      <c r="B358" s="144"/>
      <c r="C358" s="144"/>
      <c r="D358" s="144"/>
      <c r="E358" s="145"/>
      <c r="F358" s="144"/>
    </row>
    <row r="359" spans="1:6" ht="14.25" customHeight="1">
      <c r="A359" s="143"/>
      <c r="B359" s="144"/>
      <c r="C359" s="144"/>
      <c r="D359" s="144"/>
      <c r="E359" s="145"/>
      <c r="F359" s="144"/>
    </row>
    <row r="360" spans="1:6" ht="14.25" customHeight="1">
      <c r="A360" s="143"/>
      <c r="B360" s="144"/>
      <c r="C360" s="144"/>
      <c r="D360" s="144"/>
      <c r="E360" s="145"/>
      <c r="F360" s="144"/>
    </row>
    <row r="361" spans="1:6" ht="14.25" customHeight="1">
      <c r="A361" s="143"/>
      <c r="B361" s="144"/>
      <c r="C361" s="144"/>
      <c r="D361" s="144"/>
      <c r="E361" s="145"/>
      <c r="F361" s="144"/>
    </row>
    <row r="362" spans="1:6" ht="14.25" customHeight="1">
      <c r="A362" s="143"/>
      <c r="B362" s="144"/>
      <c r="C362" s="144"/>
      <c r="D362" s="144"/>
      <c r="E362" s="145"/>
      <c r="F362" s="144"/>
    </row>
    <row r="363" spans="1:6" ht="14.25" customHeight="1">
      <c r="A363" s="143"/>
      <c r="B363" s="144"/>
      <c r="C363" s="144"/>
      <c r="D363" s="144"/>
      <c r="E363" s="145"/>
      <c r="F363" s="144"/>
    </row>
    <row r="364" spans="1:6" ht="14.25" customHeight="1">
      <c r="A364" s="143"/>
      <c r="B364" s="144"/>
      <c r="C364" s="144"/>
      <c r="D364" s="144"/>
      <c r="E364" s="145"/>
      <c r="F364" s="144"/>
    </row>
    <row r="365" spans="1:6" ht="14.25" customHeight="1">
      <c r="A365" s="143"/>
      <c r="B365" s="144"/>
      <c r="C365" s="144"/>
      <c r="D365" s="144"/>
      <c r="E365" s="145"/>
      <c r="F365" s="144"/>
    </row>
    <row r="366" spans="1:6" ht="14.25" customHeight="1">
      <c r="A366" s="143"/>
      <c r="B366" s="144"/>
      <c r="C366" s="144"/>
      <c r="D366" s="144"/>
      <c r="E366" s="145"/>
      <c r="F366" s="144"/>
    </row>
    <row r="367" spans="1:6" ht="14.25" customHeight="1">
      <c r="A367" s="143"/>
      <c r="B367" s="144"/>
      <c r="C367" s="144"/>
      <c r="D367" s="144"/>
      <c r="E367" s="145"/>
      <c r="F367" s="144"/>
    </row>
    <row r="368" spans="1:6" ht="14.25" customHeight="1">
      <c r="A368" s="143"/>
      <c r="B368" s="144"/>
      <c r="C368" s="144"/>
      <c r="D368" s="144"/>
      <c r="E368" s="145"/>
      <c r="F368" s="144"/>
    </row>
    <row r="369" spans="1:6" ht="14.25" customHeight="1">
      <c r="A369" s="143"/>
      <c r="B369" s="144"/>
      <c r="C369" s="144"/>
      <c r="D369" s="144"/>
      <c r="E369" s="145"/>
      <c r="F369" s="144"/>
    </row>
    <row r="370" spans="1:6" ht="14.25" customHeight="1">
      <c r="A370" s="143"/>
      <c r="B370" s="144"/>
      <c r="C370" s="144"/>
      <c r="D370" s="144"/>
      <c r="E370" s="145"/>
      <c r="F370" s="144"/>
    </row>
    <row r="371" spans="1:6" ht="14.25" customHeight="1">
      <c r="A371" s="143"/>
      <c r="B371" s="144"/>
      <c r="C371" s="144"/>
      <c r="D371" s="144"/>
      <c r="E371" s="145"/>
      <c r="F371" s="144"/>
    </row>
    <row r="372" spans="1:6" ht="14.25" customHeight="1">
      <c r="A372" s="143"/>
      <c r="B372" s="144"/>
      <c r="C372" s="144"/>
      <c r="D372" s="144"/>
      <c r="E372" s="145"/>
      <c r="F372" s="144"/>
    </row>
    <row r="373" spans="1:6" ht="14.25" customHeight="1">
      <c r="A373" s="143"/>
      <c r="B373" s="144"/>
      <c r="C373" s="144"/>
      <c r="D373" s="144"/>
      <c r="E373" s="145"/>
      <c r="F373" s="144"/>
    </row>
    <row r="374" spans="1:6" ht="14.25" customHeight="1">
      <c r="A374" s="143"/>
      <c r="B374" s="144"/>
      <c r="C374" s="144"/>
      <c r="D374" s="144"/>
      <c r="E374" s="145"/>
      <c r="F374" s="144"/>
    </row>
    <row r="375" spans="1:6" ht="14.25" customHeight="1">
      <c r="A375" s="143"/>
      <c r="B375" s="144"/>
      <c r="C375" s="144"/>
      <c r="D375" s="144"/>
      <c r="E375" s="145"/>
      <c r="F375" s="144"/>
    </row>
    <row r="376" spans="1:6" ht="14.25" customHeight="1">
      <c r="A376" s="143"/>
      <c r="B376" s="144"/>
      <c r="C376" s="144"/>
      <c r="D376" s="144"/>
      <c r="E376" s="145"/>
      <c r="F376" s="144"/>
    </row>
    <row r="377" spans="1:6" ht="14.25" customHeight="1">
      <c r="A377" s="143"/>
      <c r="B377" s="144"/>
      <c r="C377" s="144"/>
      <c r="D377" s="144"/>
      <c r="E377" s="145"/>
      <c r="F377" s="144"/>
    </row>
    <row r="378" spans="1:6" ht="14.25" customHeight="1">
      <c r="A378" s="143"/>
      <c r="B378" s="144"/>
      <c r="C378" s="144"/>
      <c r="D378" s="144"/>
      <c r="E378" s="145"/>
      <c r="F378" s="144"/>
    </row>
    <row r="379" spans="1:6" ht="14.25" customHeight="1">
      <c r="A379" s="143"/>
      <c r="B379" s="144"/>
      <c r="C379" s="144"/>
      <c r="D379" s="144"/>
      <c r="E379" s="145"/>
      <c r="F379" s="144"/>
    </row>
    <row r="380" spans="1:6" ht="14.25" customHeight="1">
      <c r="A380" s="143"/>
      <c r="B380" s="144"/>
      <c r="C380" s="144"/>
      <c r="D380" s="144"/>
      <c r="E380" s="145"/>
      <c r="F380" s="144"/>
    </row>
    <row r="381" spans="1:6" ht="14.25" customHeight="1">
      <c r="A381" s="143"/>
      <c r="B381" s="144"/>
      <c r="C381" s="144"/>
      <c r="D381" s="144"/>
      <c r="E381" s="145"/>
      <c r="F381" s="144"/>
    </row>
    <row r="382" spans="1:6" ht="14.25" customHeight="1">
      <c r="A382" s="143"/>
      <c r="B382" s="144"/>
      <c r="C382" s="144"/>
      <c r="D382" s="144"/>
      <c r="E382" s="145"/>
      <c r="F382" s="144"/>
    </row>
    <row r="383" spans="1:6" ht="14.25" customHeight="1">
      <c r="A383" s="143"/>
      <c r="B383" s="144"/>
      <c r="C383" s="144"/>
      <c r="D383" s="144"/>
      <c r="E383" s="145"/>
      <c r="F383" s="144"/>
    </row>
    <row r="384" spans="1:6" ht="14.25" customHeight="1">
      <c r="A384" s="143"/>
      <c r="B384" s="144"/>
      <c r="C384" s="144"/>
      <c r="D384" s="144"/>
      <c r="E384" s="145"/>
      <c r="F384" s="144"/>
    </row>
    <row r="385" spans="1:6" ht="14.25" customHeight="1">
      <c r="A385" s="143"/>
      <c r="B385" s="144"/>
      <c r="C385" s="144"/>
      <c r="D385" s="144"/>
      <c r="E385" s="145"/>
      <c r="F385" s="144"/>
    </row>
    <row r="386" spans="1:6" ht="14.25" customHeight="1">
      <c r="A386" s="143"/>
      <c r="B386" s="144"/>
      <c r="C386" s="144"/>
      <c r="D386" s="144"/>
      <c r="E386" s="145"/>
      <c r="F386" s="144"/>
    </row>
    <row r="387" spans="1:6" ht="14.25" customHeight="1">
      <c r="A387" s="143"/>
      <c r="B387" s="144"/>
      <c r="C387" s="144"/>
      <c r="D387" s="144"/>
      <c r="E387" s="145"/>
      <c r="F387" s="144"/>
    </row>
    <row r="388" spans="1:6" ht="14.25" customHeight="1">
      <c r="A388" s="143"/>
      <c r="B388" s="144"/>
      <c r="C388" s="144"/>
      <c r="D388" s="144"/>
      <c r="E388" s="145"/>
      <c r="F388" s="144"/>
    </row>
    <row r="389" spans="1:6" ht="14.25" customHeight="1">
      <c r="A389" s="143"/>
      <c r="B389" s="144"/>
      <c r="C389" s="144"/>
      <c r="D389" s="144"/>
      <c r="E389" s="145"/>
      <c r="F389" s="144"/>
    </row>
    <row r="390" spans="1:6" ht="14.25" customHeight="1">
      <c r="A390" s="143"/>
      <c r="B390" s="144"/>
      <c r="C390" s="144"/>
      <c r="D390" s="144"/>
      <c r="E390" s="145"/>
      <c r="F390" s="144"/>
    </row>
    <row r="391" spans="1:6" ht="14.25" customHeight="1">
      <c r="A391" s="143"/>
      <c r="B391" s="144"/>
      <c r="C391" s="144"/>
      <c r="D391" s="144"/>
      <c r="E391" s="145"/>
      <c r="F391" s="144"/>
    </row>
    <row r="392" spans="1:6" ht="14.25" customHeight="1">
      <c r="A392" s="143"/>
      <c r="B392" s="144"/>
      <c r="C392" s="144"/>
      <c r="D392" s="144"/>
      <c r="E392" s="145"/>
      <c r="F392" s="144"/>
    </row>
    <row r="393" spans="1:6" ht="14.25" customHeight="1">
      <c r="A393" s="143"/>
      <c r="B393" s="144"/>
      <c r="C393" s="144"/>
      <c r="D393" s="144"/>
      <c r="E393" s="145"/>
      <c r="F393" s="144"/>
    </row>
    <row r="394" spans="1:6" ht="14.25" customHeight="1">
      <c r="A394" s="143"/>
      <c r="B394" s="144"/>
      <c r="C394" s="144"/>
      <c r="D394" s="144"/>
      <c r="E394" s="145"/>
      <c r="F394" s="144"/>
    </row>
    <row r="395" spans="1:6" ht="14.25" customHeight="1">
      <c r="A395" s="143"/>
      <c r="B395" s="144"/>
      <c r="C395" s="144"/>
      <c r="D395" s="144"/>
      <c r="E395" s="145"/>
      <c r="F395" s="144"/>
    </row>
    <row r="396" spans="1:6" ht="14.25" customHeight="1">
      <c r="A396" s="143"/>
      <c r="B396" s="144"/>
      <c r="C396" s="144"/>
      <c r="D396" s="144"/>
      <c r="E396" s="145"/>
      <c r="F396" s="144"/>
    </row>
    <row r="397" spans="1:6" ht="14.25" customHeight="1">
      <c r="A397" s="143"/>
      <c r="B397" s="144"/>
      <c r="C397" s="144"/>
      <c r="D397" s="144"/>
      <c r="E397" s="145"/>
      <c r="F397" s="144"/>
    </row>
    <row r="398" spans="1:6" ht="14.25" customHeight="1">
      <c r="A398" s="143"/>
      <c r="B398" s="144"/>
      <c r="C398" s="144"/>
      <c r="D398" s="144"/>
      <c r="E398" s="145"/>
      <c r="F398" s="144"/>
    </row>
    <row r="399" spans="1:6" ht="14.25" customHeight="1">
      <c r="A399" s="143"/>
      <c r="B399" s="144"/>
      <c r="C399" s="144"/>
      <c r="D399" s="144"/>
      <c r="E399" s="145"/>
      <c r="F399" s="144"/>
    </row>
    <row r="400" spans="1:6" ht="14.25" customHeight="1">
      <c r="A400" s="143"/>
      <c r="B400" s="144"/>
      <c r="C400" s="144"/>
      <c r="D400" s="144"/>
      <c r="E400" s="145"/>
      <c r="F400" s="144"/>
    </row>
    <row r="401" spans="1:6" ht="14.25" customHeight="1">
      <c r="A401" s="143"/>
      <c r="B401" s="144"/>
      <c r="C401" s="144"/>
      <c r="D401" s="144"/>
      <c r="E401" s="145"/>
      <c r="F401" s="144"/>
    </row>
    <row r="402" spans="1:6" ht="14.25" customHeight="1">
      <c r="A402" s="143"/>
      <c r="B402" s="144"/>
      <c r="C402" s="144"/>
      <c r="D402" s="144"/>
      <c r="E402" s="145"/>
      <c r="F402" s="144"/>
    </row>
    <row r="403" spans="1:6" ht="14.25" customHeight="1">
      <c r="A403" s="143"/>
      <c r="B403" s="144"/>
      <c r="C403" s="144"/>
      <c r="D403" s="144"/>
      <c r="E403" s="145"/>
      <c r="F403" s="144"/>
    </row>
    <row r="404" spans="1:6" ht="14.25" customHeight="1">
      <c r="A404" s="143"/>
      <c r="B404" s="144"/>
      <c r="C404" s="144"/>
      <c r="D404" s="144"/>
      <c r="E404" s="145"/>
      <c r="F404" s="144"/>
    </row>
    <row r="405" spans="1:6" ht="14.25" customHeight="1">
      <c r="A405" s="143"/>
      <c r="B405" s="144"/>
      <c r="C405" s="144"/>
      <c r="D405" s="144"/>
      <c r="E405" s="145"/>
      <c r="F405" s="144"/>
    </row>
    <row r="406" spans="1:6" ht="14.25" customHeight="1">
      <c r="A406" s="143"/>
      <c r="B406" s="144"/>
      <c r="C406" s="144"/>
      <c r="D406" s="144"/>
      <c r="E406" s="145"/>
      <c r="F406" s="144"/>
    </row>
    <row r="407" spans="1:6" ht="14.25" customHeight="1">
      <c r="A407" s="143"/>
      <c r="B407" s="144"/>
      <c r="C407" s="144"/>
      <c r="D407" s="144"/>
      <c r="E407" s="145"/>
      <c r="F407" s="144"/>
    </row>
    <row r="408" spans="1:6" ht="14.25" customHeight="1">
      <c r="A408" s="143"/>
      <c r="B408" s="144"/>
      <c r="C408" s="144"/>
      <c r="D408" s="144"/>
      <c r="E408" s="145"/>
      <c r="F408" s="144"/>
    </row>
    <row r="409" spans="1:6" ht="14.25" customHeight="1">
      <c r="A409" s="143"/>
      <c r="B409" s="144"/>
      <c r="C409" s="144"/>
      <c r="D409" s="144"/>
      <c r="E409" s="145"/>
      <c r="F409" s="144"/>
    </row>
    <row r="410" spans="1:6" ht="14.25" customHeight="1">
      <c r="A410" s="143"/>
      <c r="B410" s="144"/>
      <c r="C410" s="144"/>
      <c r="D410" s="144"/>
      <c r="E410" s="145"/>
      <c r="F410" s="144"/>
    </row>
    <row r="411" spans="1:6" ht="14.25" customHeight="1">
      <c r="A411" s="143"/>
      <c r="B411" s="144"/>
      <c r="C411" s="144"/>
      <c r="D411" s="144"/>
      <c r="E411" s="145"/>
      <c r="F411" s="144"/>
    </row>
    <row r="412" spans="1:6" ht="14.25" customHeight="1">
      <c r="A412" s="143"/>
      <c r="B412" s="144"/>
      <c r="C412" s="144"/>
      <c r="D412" s="144"/>
      <c r="E412" s="145"/>
      <c r="F412" s="144"/>
    </row>
    <row r="413" spans="1:6" ht="14.25" customHeight="1">
      <c r="A413" s="143"/>
      <c r="B413" s="144"/>
      <c r="C413" s="144"/>
      <c r="D413" s="144"/>
      <c r="E413" s="145"/>
      <c r="F413" s="144"/>
    </row>
    <row r="414" spans="1:6" ht="14.25" customHeight="1">
      <c r="A414" s="143"/>
      <c r="B414" s="144"/>
      <c r="C414" s="144"/>
      <c r="D414" s="144"/>
      <c r="E414" s="145"/>
      <c r="F414" s="144"/>
    </row>
    <row r="415" spans="1:6" ht="14.25" customHeight="1">
      <c r="A415" s="143"/>
      <c r="B415" s="144"/>
      <c r="C415" s="144"/>
      <c r="D415" s="144"/>
      <c r="E415" s="145"/>
      <c r="F415" s="144"/>
    </row>
    <row r="416" spans="1:6" ht="14.25" customHeight="1">
      <c r="A416" s="143"/>
      <c r="B416" s="144"/>
      <c r="C416" s="144"/>
      <c r="D416" s="144"/>
      <c r="E416" s="145"/>
      <c r="F416" s="144"/>
    </row>
    <row r="417" spans="1:6" ht="14.25" customHeight="1">
      <c r="A417" s="143"/>
      <c r="B417" s="144"/>
      <c r="C417" s="144"/>
      <c r="D417" s="144"/>
      <c r="E417" s="145"/>
      <c r="F417" s="144"/>
    </row>
    <row r="418" spans="1:6" ht="14.25" customHeight="1">
      <c r="A418" s="143"/>
      <c r="B418" s="144"/>
      <c r="C418" s="144"/>
      <c r="D418" s="144"/>
      <c r="E418" s="145"/>
      <c r="F418" s="144"/>
    </row>
    <row r="419" spans="1:6" ht="14.25" customHeight="1">
      <c r="A419" s="143"/>
      <c r="B419" s="144"/>
      <c r="C419" s="144"/>
      <c r="D419" s="144"/>
      <c r="E419" s="145"/>
      <c r="F419" s="144"/>
    </row>
    <row r="420" spans="1:6" ht="14.25" customHeight="1">
      <c r="A420" s="143"/>
      <c r="B420" s="144"/>
      <c r="C420" s="144"/>
      <c r="D420" s="144"/>
      <c r="E420" s="145"/>
      <c r="F420" s="144"/>
    </row>
    <row r="421" spans="1:6" ht="14.25" customHeight="1">
      <c r="A421" s="143"/>
      <c r="B421" s="144"/>
      <c r="C421" s="144"/>
      <c r="D421" s="144"/>
      <c r="E421" s="145"/>
      <c r="F421" s="144"/>
    </row>
    <row r="422" spans="1:6" ht="14.25" customHeight="1">
      <c r="A422" s="143"/>
      <c r="B422" s="144"/>
      <c r="C422" s="144"/>
      <c r="D422" s="144"/>
      <c r="E422" s="145"/>
      <c r="F422" s="144"/>
    </row>
    <row r="423" spans="1:6" ht="14.25" customHeight="1">
      <c r="A423" s="143"/>
      <c r="B423" s="144"/>
      <c r="C423" s="144"/>
      <c r="D423" s="144"/>
      <c r="E423" s="145"/>
      <c r="F423" s="144"/>
    </row>
    <row r="424" spans="1:6" ht="14.25" customHeight="1">
      <c r="A424" s="143"/>
      <c r="B424" s="144"/>
      <c r="C424" s="144"/>
      <c r="D424" s="144"/>
      <c r="E424" s="145"/>
      <c r="F424" s="144"/>
    </row>
    <row r="425" spans="1:6" ht="14.25" customHeight="1">
      <c r="A425" s="143"/>
      <c r="B425" s="144"/>
      <c r="C425" s="144"/>
      <c r="D425" s="144"/>
      <c r="E425" s="145"/>
      <c r="F425" s="144"/>
    </row>
    <row r="426" spans="1:6" ht="14.25" customHeight="1">
      <c r="A426" s="143"/>
      <c r="B426" s="144"/>
      <c r="C426" s="144"/>
      <c r="D426" s="144"/>
      <c r="E426" s="145"/>
      <c r="F426" s="144"/>
    </row>
    <row r="427" spans="1:6" ht="14.25" customHeight="1">
      <c r="A427" s="143"/>
      <c r="B427" s="144"/>
      <c r="C427" s="144"/>
      <c r="D427" s="144"/>
      <c r="E427" s="145"/>
      <c r="F427" s="144"/>
    </row>
    <row r="428" spans="1:6" ht="14.25" customHeight="1">
      <c r="A428" s="143"/>
      <c r="B428" s="144"/>
      <c r="C428" s="144"/>
      <c r="D428" s="144"/>
      <c r="E428" s="145"/>
      <c r="F428" s="144"/>
    </row>
    <row r="429" spans="1:6" ht="14.25" customHeight="1">
      <c r="A429" s="143"/>
      <c r="B429" s="144"/>
      <c r="C429" s="144"/>
      <c r="D429" s="144"/>
      <c r="E429" s="145"/>
      <c r="F429" s="144"/>
    </row>
    <row r="430" spans="1:6" ht="14.25" customHeight="1">
      <c r="A430" s="143"/>
      <c r="B430" s="144"/>
      <c r="C430" s="144"/>
      <c r="D430" s="144"/>
      <c r="E430" s="145"/>
      <c r="F430" s="144"/>
    </row>
    <row r="431" spans="1:6" ht="14.25" customHeight="1">
      <c r="A431" s="143"/>
      <c r="B431" s="144"/>
      <c r="C431" s="144"/>
      <c r="D431" s="144"/>
      <c r="E431" s="145"/>
      <c r="F431" s="144"/>
    </row>
    <row r="432" spans="1:6" ht="14.25" customHeight="1">
      <c r="A432" s="143"/>
      <c r="B432" s="144"/>
      <c r="C432" s="144"/>
      <c r="D432" s="144"/>
      <c r="E432" s="145"/>
      <c r="F432" s="144"/>
    </row>
    <row r="433" spans="1:6" ht="14.25" customHeight="1">
      <c r="A433" s="143"/>
      <c r="B433" s="144"/>
      <c r="C433" s="144"/>
      <c r="D433" s="144"/>
      <c r="E433" s="145"/>
      <c r="F433" s="144"/>
    </row>
    <row r="434" spans="1:6" ht="14.25" customHeight="1">
      <c r="A434" s="143"/>
      <c r="B434" s="144"/>
      <c r="C434" s="144"/>
      <c r="D434" s="144"/>
      <c r="E434" s="145"/>
      <c r="F434" s="144"/>
    </row>
    <row r="435" spans="1:6" ht="14.25" customHeight="1">
      <c r="A435" s="143"/>
      <c r="B435" s="144"/>
      <c r="C435" s="144"/>
      <c r="D435" s="144"/>
      <c r="E435" s="145"/>
      <c r="F435" s="144"/>
    </row>
    <row r="436" spans="1:6" ht="14.25" customHeight="1">
      <c r="A436" s="143"/>
      <c r="B436" s="144"/>
      <c r="C436" s="144"/>
      <c r="D436" s="144"/>
      <c r="E436" s="145"/>
      <c r="F436" s="144"/>
    </row>
    <row r="437" spans="1:6" ht="14.25" customHeight="1">
      <c r="A437" s="143"/>
      <c r="B437" s="144"/>
      <c r="C437" s="144"/>
      <c r="D437" s="144"/>
      <c r="E437" s="145"/>
      <c r="F437" s="144"/>
    </row>
    <row r="438" spans="1:6" ht="14.25" customHeight="1">
      <c r="A438" s="143"/>
      <c r="B438" s="144"/>
      <c r="C438" s="144"/>
      <c r="D438" s="144"/>
      <c r="E438" s="145"/>
      <c r="F438" s="144"/>
    </row>
    <row r="439" spans="1:6" ht="14.25" customHeight="1">
      <c r="A439" s="143"/>
      <c r="B439" s="144"/>
      <c r="C439" s="144"/>
      <c r="D439" s="144"/>
      <c r="E439" s="145"/>
      <c r="F439" s="144"/>
    </row>
    <row r="440" spans="1:6" ht="14.25" customHeight="1">
      <c r="A440" s="143"/>
      <c r="B440" s="144"/>
      <c r="C440" s="144"/>
      <c r="D440" s="144"/>
      <c r="E440" s="145"/>
      <c r="F440" s="144"/>
    </row>
    <row r="441" spans="1:6" ht="14.25" customHeight="1">
      <c r="A441" s="143"/>
      <c r="B441" s="144"/>
      <c r="C441" s="144"/>
      <c r="D441" s="144"/>
      <c r="E441" s="145"/>
      <c r="F441" s="144"/>
    </row>
    <row r="442" spans="1:6" ht="14.25" customHeight="1">
      <c r="A442" s="143"/>
      <c r="B442" s="144"/>
      <c r="C442" s="144"/>
      <c r="D442" s="144"/>
      <c r="E442" s="145"/>
      <c r="F442" s="144"/>
    </row>
    <row r="443" spans="1:6" ht="14.25" customHeight="1">
      <c r="A443" s="143"/>
      <c r="B443" s="144"/>
      <c r="C443" s="144"/>
      <c r="D443" s="144"/>
      <c r="E443" s="145"/>
      <c r="F443" s="144"/>
    </row>
    <row r="444" spans="1:6" ht="14.25" customHeight="1">
      <c r="A444" s="143"/>
      <c r="B444" s="144"/>
      <c r="C444" s="144"/>
      <c r="D444" s="144"/>
      <c r="E444" s="145"/>
      <c r="F444" s="144"/>
    </row>
    <row r="445" spans="1:6" ht="14.25" customHeight="1">
      <c r="A445" s="143"/>
      <c r="B445" s="144"/>
      <c r="C445" s="144"/>
      <c r="D445" s="144"/>
      <c r="E445" s="145"/>
      <c r="F445" s="144"/>
    </row>
    <row r="446" spans="1:6" ht="14.25" customHeight="1">
      <c r="A446" s="143"/>
      <c r="B446" s="144"/>
      <c r="C446" s="144"/>
      <c r="D446" s="144"/>
      <c r="E446" s="145"/>
      <c r="F446" s="144"/>
    </row>
    <row r="447" spans="1:6" ht="14.25" customHeight="1">
      <c r="A447" s="143"/>
      <c r="B447" s="144"/>
      <c r="C447" s="144"/>
      <c r="D447" s="144"/>
      <c r="E447" s="145"/>
      <c r="F447" s="144"/>
    </row>
    <row r="448" spans="1:6" ht="14.25" customHeight="1">
      <c r="A448" s="143"/>
      <c r="B448" s="144"/>
      <c r="C448" s="144"/>
      <c r="D448" s="144"/>
      <c r="E448" s="145"/>
      <c r="F448" s="144"/>
    </row>
    <row r="449" spans="1:6" ht="14.25" customHeight="1">
      <c r="A449" s="143"/>
      <c r="B449" s="144"/>
      <c r="C449" s="144"/>
      <c r="D449" s="144"/>
      <c r="E449" s="145"/>
      <c r="F449" s="144"/>
    </row>
    <row r="450" spans="1:6" ht="14.25" customHeight="1">
      <c r="A450" s="143"/>
      <c r="B450" s="144"/>
      <c r="C450" s="144"/>
      <c r="D450" s="144"/>
      <c r="E450" s="145"/>
      <c r="F450" s="144"/>
    </row>
    <row r="451" spans="1:6" ht="14.25" customHeight="1">
      <c r="A451" s="143"/>
      <c r="B451" s="144"/>
      <c r="C451" s="144"/>
      <c r="D451" s="144"/>
      <c r="E451" s="145"/>
      <c r="F451" s="144"/>
    </row>
    <row r="452" spans="1:6" ht="14.25" customHeight="1">
      <c r="A452" s="143"/>
      <c r="B452" s="144"/>
      <c r="C452" s="144"/>
      <c r="D452" s="144"/>
      <c r="E452" s="145"/>
      <c r="F452" s="144"/>
    </row>
    <row r="453" spans="1:6" ht="14.25" customHeight="1">
      <c r="A453" s="143"/>
      <c r="B453" s="144"/>
      <c r="C453" s="144"/>
      <c r="D453" s="144"/>
      <c r="E453" s="145"/>
      <c r="F453" s="144"/>
    </row>
    <row r="454" spans="1:6" ht="14.25" customHeight="1">
      <c r="A454" s="143"/>
      <c r="B454" s="144"/>
      <c r="C454" s="144"/>
      <c r="D454" s="144"/>
      <c r="E454" s="145"/>
      <c r="F454" s="144"/>
    </row>
    <row r="455" spans="1:6" ht="14.25" customHeight="1">
      <c r="A455" s="143"/>
      <c r="B455" s="144"/>
      <c r="C455" s="144"/>
      <c r="D455" s="144"/>
      <c r="E455" s="145"/>
      <c r="F455" s="144"/>
    </row>
    <row r="456" spans="1:6" ht="14.25" customHeight="1">
      <c r="A456" s="143"/>
      <c r="B456" s="144"/>
      <c r="C456" s="144"/>
      <c r="D456" s="144"/>
      <c r="E456" s="145"/>
      <c r="F456" s="144"/>
    </row>
    <row r="457" spans="1:6" ht="14.25" customHeight="1">
      <c r="A457" s="143"/>
      <c r="B457" s="144"/>
      <c r="C457" s="144"/>
      <c r="D457" s="144"/>
      <c r="E457" s="145"/>
      <c r="F457" s="144"/>
    </row>
    <row r="458" spans="1:6" ht="14.25" customHeight="1">
      <c r="A458" s="143"/>
      <c r="B458" s="144"/>
      <c r="C458" s="144"/>
      <c r="D458" s="144"/>
      <c r="E458" s="145"/>
      <c r="F458" s="144"/>
    </row>
    <row r="459" spans="1:6" ht="14.25" customHeight="1">
      <c r="A459" s="143"/>
      <c r="B459" s="144"/>
      <c r="C459" s="144"/>
      <c r="D459" s="144"/>
      <c r="E459" s="145"/>
      <c r="F459" s="144"/>
    </row>
    <row r="460" spans="1:6" ht="14.25" customHeight="1">
      <c r="A460" s="143"/>
      <c r="B460" s="144"/>
      <c r="C460" s="144"/>
      <c r="D460" s="144"/>
      <c r="E460" s="145"/>
      <c r="F460" s="144"/>
    </row>
    <row r="461" spans="1:6" ht="14.25" customHeight="1">
      <c r="A461" s="143"/>
      <c r="B461" s="144"/>
      <c r="C461" s="144"/>
      <c r="D461" s="144"/>
      <c r="E461" s="145"/>
      <c r="F461" s="144"/>
    </row>
    <row r="462" spans="1:6" ht="14.25" customHeight="1">
      <c r="A462" s="143"/>
      <c r="B462" s="144"/>
      <c r="C462" s="144"/>
      <c r="D462" s="144"/>
      <c r="E462" s="145"/>
      <c r="F462" s="144"/>
    </row>
    <row r="463" spans="1:6" ht="14.25" customHeight="1">
      <c r="A463" s="143"/>
      <c r="B463" s="144"/>
      <c r="C463" s="144"/>
      <c r="D463" s="144"/>
      <c r="E463" s="145"/>
      <c r="F463" s="144"/>
    </row>
    <row r="464" spans="1:6" ht="14.25" customHeight="1">
      <c r="A464" s="143"/>
      <c r="B464" s="144"/>
      <c r="C464" s="144"/>
      <c r="D464" s="144"/>
      <c r="E464" s="145"/>
      <c r="F464" s="144"/>
    </row>
    <row r="465" spans="1:6" ht="14.25" customHeight="1">
      <c r="A465" s="143"/>
      <c r="B465" s="144"/>
      <c r="C465" s="144"/>
      <c r="D465" s="144"/>
      <c r="E465" s="145"/>
      <c r="F465" s="144"/>
    </row>
    <row r="466" spans="1:6" ht="14.25" customHeight="1">
      <c r="A466" s="143"/>
      <c r="B466" s="144"/>
      <c r="C466" s="144"/>
      <c r="D466" s="144"/>
      <c r="E466" s="145"/>
      <c r="F466" s="144"/>
    </row>
    <row r="467" spans="1:6" ht="14.25" customHeight="1">
      <c r="A467" s="143"/>
      <c r="B467" s="144"/>
      <c r="C467" s="144"/>
      <c r="D467" s="144"/>
      <c r="E467" s="145"/>
      <c r="F467" s="144"/>
    </row>
    <row r="468" spans="1:6" ht="14.25" customHeight="1">
      <c r="A468" s="143"/>
      <c r="B468" s="144"/>
      <c r="C468" s="144"/>
      <c r="D468" s="144"/>
      <c r="E468" s="145"/>
      <c r="F468" s="144"/>
    </row>
    <row r="469" spans="1:6" ht="14.25" customHeight="1">
      <c r="A469" s="143"/>
      <c r="B469" s="144"/>
      <c r="C469" s="144"/>
      <c r="D469" s="144"/>
      <c r="E469" s="145"/>
      <c r="F469" s="144"/>
    </row>
    <row r="470" spans="1:6" ht="14.25" customHeight="1">
      <c r="A470" s="143"/>
      <c r="B470" s="144"/>
      <c r="C470" s="144"/>
      <c r="D470" s="144"/>
      <c r="E470" s="145"/>
      <c r="F470" s="144"/>
    </row>
    <row r="471" spans="1:6" ht="14.25" customHeight="1">
      <c r="A471" s="143"/>
      <c r="B471" s="144"/>
      <c r="C471" s="144"/>
      <c r="D471" s="144"/>
      <c r="E471" s="145"/>
      <c r="F471" s="144"/>
    </row>
    <row r="472" spans="1:6" ht="14.25" customHeight="1">
      <c r="A472" s="143"/>
      <c r="B472" s="144"/>
      <c r="C472" s="144"/>
      <c r="D472" s="144"/>
      <c r="E472" s="145"/>
      <c r="F472" s="144"/>
    </row>
    <row r="473" spans="1:6" ht="14.25" customHeight="1">
      <c r="A473" s="143"/>
      <c r="B473" s="144"/>
      <c r="C473" s="144"/>
      <c r="D473" s="144"/>
      <c r="E473" s="145"/>
      <c r="F473" s="144"/>
    </row>
    <row r="474" spans="1:6" ht="14.25" customHeight="1">
      <c r="A474" s="143"/>
      <c r="B474" s="144"/>
      <c r="C474" s="144"/>
      <c r="D474" s="144"/>
      <c r="E474" s="145"/>
      <c r="F474" s="144"/>
    </row>
    <row r="475" spans="1:6" ht="14.25" customHeight="1">
      <c r="A475" s="143"/>
      <c r="B475" s="144"/>
      <c r="C475" s="144"/>
      <c r="D475" s="144"/>
      <c r="E475" s="145"/>
      <c r="F475" s="144"/>
    </row>
    <row r="476" spans="1:6" ht="14.25" customHeight="1">
      <c r="A476" s="143"/>
      <c r="B476" s="144"/>
      <c r="C476" s="144"/>
      <c r="D476" s="144"/>
      <c r="E476" s="145"/>
      <c r="F476" s="144"/>
    </row>
    <row r="477" spans="1:6" ht="14.25" customHeight="1">
      <c r="A477" s="143"/>
      <c r="B477" s="144"/>
      <c r="C477" s="144"/>
      <c r="D477" s="144"/>
      <c r="E477" s="145"/>
      <c r="F477" s="144"/>
    </row>
    <row r="478" spans="1:6" ht="14.25" customHeight="1">
      <c r="A478" s="143"/>
      <c r="B478" s="144"/>
      <c r="C478" s="144"/>
      <c r="D478" s="144"/>
      <c r="E478" s="145"/>
      <c r="F478" s="144"/>
    </row>
    <row r="479" spans="1:6" ht="14.25" customHeight="1">
      <c r="A479" s="143"/>
      <c r="B479" s="144"/>
      <c r="C479" s="144"/>
      <c r="D479" s="144"/>
      <c r="E479" s="145"/>
      <c r="F479" s="144"/>
    </row>
    <row r="480" spans="1:6" ht="14.25" customHeight="1">
      <c r="A480" s="143"/>
      <c r="B480" s="144"/>
      <c r="C480" s="144"/>
      <c r="D480" s="144"/>
      <c r="E480" s="145"/>
      <c r="F480" s="144"/>
    </row>
    <row r="481" spans="1:6" ht="14.25" customHeight="1">
      <c r="A481" s="143"/>
      <c r="B481" s="144"/>
      <c r="C481" s="144"/>
      <c r="D481" s="144"/>
      <c r="E481" s="145"/>
      <c r="F481" s="144"/>
    </row>
    <row r="482" spans="1:6" ht="14.25" customHeight="1">
      <c r="A482" s="143"/>
      <c r="B482" s="144"/>
      <c r="C482" s="144"/>
      <c r="D482" s="144"/>
      <c r="E482" s="145"/>
      <c r="F482" s="144"/>
    </row>
    <row r="483" spans="1:6" ht="14.25" customHeight="1">
      <c r="A483" s="143"/>
      <c r="B483" s="144"/>
      <c r="C483" s="144"/>
      <c r="D483" s="144"/>
      <c r="E483" s="145"/>
      <c r="F483" s="144"/>
    </row>
    <row r="484" spans="1:6" ht="14.25" customHeight="1">
      <c r="A484" s="143"/>
      <c r="B484" s="144"/>
      <c r="C484" s="144"/>
      <c r="D484" s="144"/>
      <c r="E484" s="145"/>
      <c r="F484" s="144"/>
    </row>
    <row r="485" spans="1:6" ht="14.25" customHeight="1">
      <c r="A485" s="143"/>
      <c r="B485" s="144"/>
      <c r="C485" s="144"/>
      <c r="D485" s="144"/>
      <c r="E485" s="145"/>
      <c r="F485" s="144"/>
    </row>
    <row r="486" spans="1:6" ht="14.25" customHeight="1">
      <c r="A486" s="143"/>
      <c r="B486" s="144"/>
      <c r="C486" s="144"/>
      <c r="D486" s="144"/>
      <c r="E486" s="145"/>
      <c r="F486" s="144"/>
    </row>
    <row r="487" spans="1:6" ht="14.25" customHeight="1">
      <c r="A487" s="143"/>
      <c r="B487" s="144"/>
      <c r="C487" s="144"/>
      <c r="D487" s="144"/>
      <c r="E487" s="145"/>
      <c r="F487" s="144"/>
    </row>
    <row r="488" spans="1:6" ht="14.25" customHeight="1">
      <c r="A488" s="143"/>
      <c r="B488" s="144"/>
      <c r="C488" s="144"/>
      <c r="D488" s="144"/>
      <c r="E488" s="145"/>
      <c r="F488" s="144"/>
    </row>
    <row r="489" spans="1:6" ht="14.25" customHeight="1">
      <c r="A489" s="143"/>
      <c r="B489" s="144"/>
      <c r="C489" s="144"/>
      <c r="D489" s="144"/>
      <c r="E489" s="145"/>
      <c r="F489" s="144"/>
    </row>
    <row r="490" spans="1:6" ht="14.25" customHeight="1">
      <c r="A490" s="143"/>
      <c r="B490" s="144"/>
      <c r="C490" s="144"/>
      <c r="D490" s="144"/>
      <c r="E490" s="145"/>
      <c r="F490" s="144"/>
    </row>
    <row r="491" spans="1:6" ht="14.25" customHeight="1">
      <c r="A491" s="143"/>
      <c r="B491" s="144"/>
      <c r="C491" s="144"/>
      <c r="D491" s="144"/>
      <c r="E491" s="145"/>
      <c r="F491" s="144"/>
    </row>
    <row r="492" spans="1:6" ht="14.25" customHeight="1">
      <c r="A492" s="143"/>
      <c r="B492" s="144"/>
      <c r="C492" s="144"/>
      <c r="D492" s="144"/>
      <c r="E492" s="145"/>
      <c r="F492" s="144"/>
    </row>
    <row r="493" spans="1:6" ht="14.25" customHeight="1">
      <c r="A493" s="143"/>
      <c r="B493" s="144"/>
      <c r="C493" s="144"/>
      <c r="D493" s="144"/>
      <c r="E493" s="145"/>
      <c r="F493" s="144"/>
    </row>
    <row r="494" spans="1:6" ht="14.25" customHeight="1">
      <c r="A494" s="143"/>
      <c r="B494" s="144"/>
      <c r="C494" s="144"/>
      <c r="D494" s="144"/>
      <c r="E494" s="145"/>
      <c r="F494" s="144"/>
    </row>
    <row r="495" spans="1:6" ht="14.25" customHeight="1">
      <c r="A495" s="143"/>
      <c r="B495" s="144"/>
      <c r="C495" s="144"/>
      <c r="D495" s="144"/>
      <c r="E495" s="145"/>
      <c r="F495" s="144"/>
    </row>
    <row r="496" spans="1:6" ht="14.25" customHeight="1">
      <c r="A496" s="143"/>
      <c r="B496" s="144"/>
      <c r="C496" s="144"/>
      <c r="D496" s="144"/>
      <c r="E496" s="145"/>
      <c r="F496" s="144"/>
    </row>
    <row r="497" spans="1:6" ht="14.25" customHeight="1">
      <c r="A497" s="143"/>
      <c r="B497" s="144"/>
      <c r="C497" s="144"/>
      <c r="D497" s="144"/>
      <c r="E497" s="145"/>
      <c r="F497" s="144"/>
    </row>
    <row r="498" spans="1:6" ht="14.25" customHeight="1">
      <c r="A498" s="143"/>
      <c r="B498" s="144"/>
      <c r="C498" s="144"/>
      <c r="D498" s="144"/>
      <c r="E498" s="145"/>
      <c r="F498" s="144"/>
    </row>
    <row r="499" spans="1:6" ht="14.25" customHeight="1">
      <c r="A499" s="143"/>
      <c r="B499" s="144"/>
      <c r="C499" s="144"/>
      <c r="D499" s="144"/>
      <c r="E499" s="145"/>
      <c r="F499" s="144"/>
    </row>
    <row r="500" spans="1:6" ht="14.25" customHeight="1">
      <c r="A500" s="143"/>
      <c r="B500" s="144"/>
      <c r="C500" s="144"/>
      <c r="D500" s="144"/>
      <c r="E500" s="145"/>
      <c r="F500" s="144"/>
    </row>
    <row r="501" spans="1:6" ht="14.25" customHeight="1">
      <c r="A501" s="143"/>
      <c r="B501" s="144"/>
      <c r="C501" s="144"/>
      <c r="D501" s="144"/>
      <c r="E501" s="145"/>
      <c r="F501" s="144"/>
    </row>
    <row r="502" spans="1:6" ht="14.25" customHeight="1">
      <c r="A502" s="143"/>
      <c r="B502" s="144"/>
      <c r="C502" s="144"/>
      <c r="D502" s="144"/>
      <c r="E502" s="145"/>
      <c r="F502" s="144"/>
    </row>
    <row r="503" spans="1:6" ht="14.25" customHeight="1">
      <c r="A503" s="143"/>
      <c r="B503" s="144"/>
      <c r="C503" s="144"/>
      <c r="D503" s="144"/>
      <c r="E503" s="145"/>
      <c r="F503" s="144"/>
    </row>
    <row r="504" spans="1:6" ht="14.25" customHeight="1">
      <c r="A504" s="143"/>
      <c r="B504" s="144"/>
      <c r="C504" s="144"/>
      <c r="D504" s="144"/>
      <c r="E504" s="145"/>
      <c r="F504" s="144"/>
    </row>
    <row r="505" spans="1:6" ht="14.25" customHeight="1">
      <c r="A505" s="143"/>
      <c r="B505" s="144"/>
      <c r="C505" s="144"/>
      <c r="D505" s="144"/>
      <c r="E505" s="145"/>
      <c r="F505" s="144"/>
    </row>
    <row r="506" spans="1:6" ht="14.25" customHeight="1">
      <c r="A506" s="143"/>
      <c r="B506" s="144"/>
      <c r="C506" s="144"/>
      <c r="D506" s="144"/>
      <c r="E506" s="145"/>
      <c r="F506" s="144"/>
    </row>
    <row r="507" spans="1:6" ht="14.25" customHeight="1">
      <c r="A507" s="143"/>
      <c r="B507" s="144"/>
      <c r="C507" s="144"/>
      <c r="D507" s="144"/>
      <c r="E507" s="145"/>
      <c r="F507" s="144"/>
    </row>
    <row r="508" spans="1:6" ht="14.25" customHeight="1">
      <c r="A508" s="143"/>
      <c r="B508" s="144"/>
      <c r="C508" s="144"/>
      <c r="D508" s="144"/>
      <c r="E508" s="145"/>
      <c r="F508" s="144"/>
    </row>
    <row r="509" spans="1:6" ht="14.25" customHeight="1">
      <c r="A509" s="143"/>
      <c r="B509" s="144"/>
      <c r="C509" s="144"/>
      <c r="D509" s="144"/>
      <c r="E509" s="145"/>
      <c r="F509" s="144"/>
    </row>
    <row r="510" spans="1:6" ht="14.25" customHeight="1">
      <c r="A510" s="143"/>
      <c r="B510" s="144"/>
      <c r="C510" s="144"/>
      <c r="D510" s="144"/>
      <c r="E510" s="145"/>
      <c r="F510" s="144"/>
    </row>
    <row r="511" spans="1:6" ht="14.25" customHeight="1">
      <c r="A511" s="143"/>
      <c r="B511" s="144"/>
      <c r="C511" s="144"/>
      <c r="D511" s="144"/>
      <c r="E511" s="145"/>
      <c r="F511" s="144"/>
    </row>
    <row r="512" spans="1:6" ht="14.25" customHeight="1">
      <c r="A512" s="143"/>
      <c r="B512" s="144"/>
      <c r="C512" s="144"/>
      <c r="D512" s="144"/>
      <c r="E512" s="145"/>
      <c r="F512" s="144"/>
    </row>
    <row r="513" spans="1:6" ht="14.25" customHeight="1">
      <c r="A513" s="143"/>
      <c r="B513" s="144"/>
      <c r="C513" s="144"/>
      <c r="D513" s="144"/>
      <c r="E513" s="145"/>
      <c r="F513" s="144"/>
    </row>
    <row r="514" spans="1:6" ht="14.25" customHeight="1">
      <c r="A514" s="143"/>
      <c r="B514" s="144"/>
      <c r="C514" s="144"/>
      <c r="D514" s="144"/>
      <c r="E514" s="145"/>
      <c r="F514" s="144"/>
    </row>
    <row r="515" spans="1:6" ht="14.25" customHeight="1">
      <c r="A515" s="143"/>
      <c r="B515" s="144"/>
      <c r="C515" s="144"/>
      <c r="D515" s="144"/>
      <c r="E515" s="145"/>
      <c r="F515" s="144"/>
    </row>
    <row r="516" spans="1:6" ht="14.25" customHeight="1">
      <c r="A516" s="143"/>
      <c r="B516" s="144"/>
      <c r="C516" s="144"/>
      <c r="D516" s="144"/>
      <c r="E516" s="145"/>
      <c r="F516" s="144"/>
    </row>
    <row r="517" spans="1:6" ht="14.25" customHeight="1">
      <c r="A517" s="143"/>
      <c r="B517" s="144"/>
      <c r="C517" s="144"/>
      <c r="D517" s="144"/>
      <c r="E517" s="145"/>
      <c r="F517" s="144"/>
    </row>
    <row r="518" spans="1:6" ht="14.25" customHeight="1">
      <c r="A518" s="143"/>
      <c r="B518" s="144"/>
      <c r="C518" s="144"/>
      <c r="D518" s="144"/>
      <c r="E518" s="145"/>
      <c r="F518" s="144"/>
    </row>
    <row r="519" spans="1:6" ht="14.25" customHeight="1">
      <c r="A519" s="143"/>
      <c r="B519" s="144"/>
      <c r="C519" s="144"/>
      <c r="D519" s="144"/>
      <c r="E519" s="145"/>
      <c r="F519" s="144"/>
    </row>
    <row r="520" spans="1:6" ht="14.25" customHeight="1">
      <c r="A520" s="143"/>
      <c r="B520" s="144"/>
      <c r="C520" s="144"/>
      <c r="D520" s="144"/>
      <c r="E520" s="145"/>
      <c r="F520" s="144"/>
    </row>
    <row r="521" spans="1:6" ht="14.25" customHeight="1">
      <c r="A521" s="143"/>
      <c r="B521" s="144"/>
      <c r="C521" s="144"/>
      <c r="D521" s="144"/>
      <c r="E521" s="145"/>
      <c r="F521" s="144"/>
    </row>
    <row r="522" spans="1:6" ht="14.25" customHeight="1">
      <c r="A522" s="143"/>
      <c r="B522" s="144"/>
      <c r="C522" s="144"/>
      <c r="D522" s="144"/>
      <c r="E522" s="145"/>
      <c r="F522" s="144"/>
    </row>
    <row r="523" spans="1:6" ht="14.25" customHeight="1">
      <c r="A523" s="143"/>
      <c r="B523" s="144"/>
      <c r="C523" s="144"/>
      <c r="D523" s="144"/>
      <c r="E523" s="145"/>
      <c r="F523" s="144"/>
    </row>
    <row r="524" spans="1:6" ht="14.25" customHeight="1">
      <c r="A524" s="143"/>
      <c r="B524" s="144"/>
      <c r="C524" s="144"/>
      <c r="D524" s="144"/>
      <c r="E524" s="145"/>
      <c r="F524" s="144"/>
    </row>
    <row r="525" spans="1:6" ht="14.25" customHeight="1">
      <c r="A525" s="143"/>
      <c r="B525" s="144"/>
      <c r="C525" s="144"/>
      <c r="D525" s="144"/>
      <c r="E525" s="145"/>
      <c r="F525" s="144"/>
    </row>
    <row r="526" spans="1:6" ht="14.25" customHeight="1">
      <c r="A526" s="143"/>
      <c r="B526" s="144"/>
      <c r="C526" s="144"/>
      <c r="D526" s="144"/>
      <c r="E526" s="145"/>
      <c r="F526" s="144"/>
    </row>
    <row r="527" spans="1:6" ht="14.25" customHeight="1">
      <c r="A527" s="143"/>
      <c r="B527" s="144"/>
      <c r="C527" s="144"/>
      <c r="D527" s="144"/>
      <c r="E527" s="145"/>
      <c r="F527" s="144"/>
    </row>
    <row r="528" spans="1:6" ht="14.25" customHeight="1">
      <c r="A528" s="143"/>
      <c r="B528" s="144"/>
      <c r="C528" s="144"/>
      <c r="D528" s="144"/>
      <c r="E528" s="145"/>
      <c r="F528" s="144"/>
    </row>
    <row r="529" spans="1:6" ht="14.25" customHeight="1">
      <c r="A529" s="143"/>
      <c r="B529" s="144"/>
      <c r="C529" s="144"/>
      <c r="D529" s="144"/>
      <c r="E529" s="145"/>
      <c r="F529" s="144"/>
    </row>
    <row r="530" spans="1:6" ht="14.25" customHeight="1">
      <c r="A530" s="143"/>
      <c r="B530" s="144"/>
      <c r="C530" s="144"/>
      <c r="D530" s="144"/>
      <c r="E530" s="145"/>
      <c r="F530" s="144"/>
    </row>
    <row r="531" spans="1:6" ht="14.25" customHeight="1">
      <c r="A531" s="143"/>
      <c r="B531" s="144"/>
      <c r="C531" s="144"/>
      <c r="D531" s="144"/>
      <c r="E531" s="145"/>
      <c r="F531" s="144"/>
    </row>
    <row r="532" spans="1:6" ht="14.25" customHeight="1">
      <c r="A532" s="143"/>
      <c r="B532" s="144"/>
      <c r="C532" s="144"/>
      <c r="D532" s="144"/>
      <c r="E532" s="145"/>
      <c r="F532" s="144"/>
    </row>
    <row r="533" spans="1:6" ht="14.25" customHeight="1">
      <c r="A533" s="143"/>
      <c r="B533" s="144"/>
      <c r="C533" s="144"/>
      <c r="D533" s="144"/>
      <c r="E533" s="145"/>
      <c r="F533" s="144"/>
    </row>
    <row r="534" spans="1:6" ht="14.25" customHeight="1">
      <c r="A534" s="143"/>
      <c r="B534" s="144"/>
      <c r="C534" s="144"/>
      <c r="D534" s="144"/>
      <c r="E534" s="145"/>
      <c r="F534" s="144"/>
    </row>
    <row r="535" spans="1:6" ht="14.25" customHeight="1">
      <c r="A535" s="143"/>
      <c r="B535" s="144"/>
      <c r="C535" s="144"/>
      <c r="D535" s="144"/>
      <c r="E535" s="145"/>
      <c r="F535" s="144"/>
    </row>
    <row r="536" spans="1:6" ht="14.25" customHeight="1">
      <c r="A536" s="143"/>
      <c r="B536" s="144"/>
      <c r="C536" s="144"/>
      <c r="D536" s="144"/>
      <c r="E536" s="145"/>
      <c r="F536" s="144"/>
    </row>
    <row r="537" spans="1:6" ht="14.25" customHeight="1">
      <c r="A537" s="143"/>
      <c r="B537" s="144"/>
      <c r="C537" s="144"/>
      <c r="D537" s="144"/>
      <c r="E537" s="145"/>
      <c r="F537" s="144"/>
    </row>
    <row r="538" spans="1:6" ht="14.25" customHeight="1">
      <c r="A538" s="143"/>
      <c r="B538" s="144"/>
      <c r="C538" s="144"/>
      <c r="D538" s="144"/>
      <c r="E538" s="145"/>
      <c r="F538" s="144"/>
    </row>
    <row r="539" spans="1:6" ht="14.25" customHeight="1">
      <c r="A539" s="143"/>
      <c r="B539" s="144"/>
      <c r="C539" s="144"/>
      <c r="D539" s="144"/>
      <c r="E539" s="145"/>
      <c r="F539" s="144"/>
    </row>
    <row r="540" spans="1:6" ht="14.25" customHeight="1">
      <c r="A540" s="143"/>
      <c r="B540" s="144"/>
      <c r="C540" s="144"/>
      <c r="D540" s="144"/>
      <c r="E540" s="145"/>
      <c r="F540" s="144"/>
    </row>
    <row r="541" spans="1:6" ht="14.25" customHeight="1">
      <c r="A541" s="143"/>
      <c r="B541" s="144"/>
      <c r="C541" s="144"/>
      <c r="D541" s="144"/>
      <c r="E541" s="145"/>
      <c r="F541" s="144"/>
    </row>
    <row r="542" spans="1:6" ht="14.25" customHeight="1">
      <c r="A542" s="143"/>
      <c r="B542" s="144"/>
      <c r="C542" s="144"/>
      <c r="D542" s="144"/>
      <c r="E542" s="145"/>
      <c r="F542" s="144"/>
    </row>
    <row r="543" spans="1:6" ht="14.25" customHeight="1">
      <c r="A543" s="143"/>
      <c r="B543" s="144"/>
      <c r="C543" s="144"/>
      <c r="D543" s="144"/>
      <c r="E543" s="145"/>
      <c r="F543" s="144"/>
    </row>
    <row r="544" spans="1:6" ht="14.25" customHeight="1">
      <c r="A544" s="143"/>
      <c r="B544" s="144"/>
      <c r="C544" s="144"/>
      <c r="D544" s="144"/>
      <c r="E544" s="145"/>
      <c r="F544" s="144"/>
    </row>
    <row r="545" spans="1:6" ht="14.25" customHeight="1">
      <c r="A545" s="143"/>
      <c r="B545" s="144"/>
      <c r="C545" s="144"/>
      <c r="D545" s="144"/>
      <c r="E545" s="145"/>
      <c r="F545" s="144"/>
    </row>
    <row r="546" spans="1:6" ht="14.25" customHeight="1">
      <c r="A546" s="143"/>
      <c r="B546" s="144"/>
      <c r="C546" s="144"/>
      <c r="D546" s="144"/>
      <c r="E546" s="145"/>
      <c r="F546" s="144"/>
    </row>
    <row r="547" spans="1:6" ht="14.25" customHeight="1">
      <c r="A547" s="143"/>
      <c r="B547" s="144"/>
      <c r="C547" s="144"/>
      <c r="D547" s="144"/>
      <c r="E547" s="145"/>
      <c r="F547" s="144"/>
    </row>
    <row r="548" spans="1:6" ht="14.25" customHeight="1">
      <c r="A548" s="143"/>
      <c r="B548" s="144"/>
      <c r="C548" s="144"/>
      <c r="D548" s="144"/>
      <c r="E548" s="145"/>
      <c r="F548" s="144"/>
    </row>
    <row r="549" spans="1:6" ht="14.25" customHeight="1">
      <c r="A549" s="143"/>
      <c r="B549" s="144"/>
      <c r="C549" s="144"/>
      <c r="D549" s="144"/>
      <c r="E549" s="145"/>
      <c r="F549" s="144"/>
    </row>
    <row r="550" spans="1:6" ht="14.25" customHeight="1">
      <c r="A550" s="143"/>
      <c r="B550" s="144"/>
      <c r="C550" s="144"/>
      <c r="D550" s="144"/>
      <c r="E550" s="145"/>
      <c r="F550" s="144"/>
    </row>
    <row r="551" spans="1:6" ht="14.25" customHeight="1">
      <c r="A551" s="143"/>
      <c r="B551" s="144"/>
      <c r="C551" s="144"/>
      <c r="D551" s="144"/>
      <c r="E551" s="145"/>
      <c r="F551" s="144"/>
    </row>
    <row r="552" spans="1:6" ht="14.25" customHeight="1">
      <c r="A552" s="143"/>
      <c r="B552" s="144"/>
      <c r="C552" s="144"/>
      <c r="D552" s="144"/>
      <c r="E552" s="145"/>
      <c r="F552" s="144"/>
    </row>
    <row r="553" spans="1:6" ht="14.25" customHeight="1">
      <c r="A553" s="143"/>
      <c r="B553" s="144"/>
      <c r="C553" s="144"/>
      <c r="D553" s="144"/>
      <c r="E553" s="145"/>
      <c r="F553" s="144"/>
    </row>
    <row r="554" spans="1:6" ht="14.25" customHeight="1">
      <c r="A554" s="143"/>
      <c r="B554" s="144"/>
      <c r="C554" s="144"/>
      <c r="D554" s="144"/>
      <c r="E554" s="145"/>
      <c r="F554" s="144"/>
    </row>
    <row r="555" spans="1:6" ht="14.25" customHeight="1">
      <c r="A555" s="143"/>
      <c r="B555" s="144"/>
      <c r="C555" s="144"/>
      <c r="D555" s="144"/>
      <c r="E555" s="145"/>
      <c r="F555" s="144"/>
    </row>
    <row r="556" spans="1:6" ht="14.25" customHeight="1">
      <c r="A556" s="143"/>
      <c r="B556" s="144"/>
      <c r="C556" s="144"/>
      <c r="D556" s="144"/>
      <c r="E556" s="145"/>
      <c r="F556" s="144"/>
    </row>
    <row r="557" spans="1:6" ht="14.25" customHeight="1">
      <c r="A557" s="143"/>
      <c r="B557" s="144"/>
      <c r="C557" s="144"/>
      <c r="D557" s="144"/>
      <c r="E557" s="145"/>
      <c r="F557" s="144"/>
    </row>
    <row r="558" spans="1:6" ht="14.25" customHeight="1">
      <c r="A558" s="143"/>
      <c r="B558" s="144"/>
      <c r="C558" s="144"/>
      <c r="D558" s="144"/>
      <c r="E558" s="145"/>
      <c r="F558" s="144"/>
    </row>
    <row r="559" spans="1:6" ht="14.25" customHeight="1">
      <c r="A559" s="143"/>
      <c r="B559" s="144"/>
      <c r="C559" s="144"/>
      <c r="D559" s="144"/>
      <c r="E559" s="145"/>
      <c r="F559" s="144"/>
    </row>
    <row r="560" spans="1:6" ht="14.25" customHeight="1">
      <c r="A560" s="143"/>
      <c r="B560" s="144"/>
      <c r="C560" s="144"/>
      <c r="D560" s="144"/>
      <c r="E560" s="145"/>
      <c r="F560" s="144"/>
    </row>
    <row r="561" spans="1:6" ht="14.25" customHeight="1">
      <c r="A561" s="143"/>
      <c r="B561" s="144"/>
      <c r="C561" s="144"/>
      <c r="D561" s="144"/>
      <c r="E561" s="145"/>
      <c r="F561" s="144"/>
    </row>
    <row r="562" spans="1:6" ht="14.25" customHeight="1">
      <c r="A562" s="143"/>
      <c r="B562" s="144"/>
      <c r="C562" s="144"/>
      <c r="D562" s="144"/>
      <c r="E562" s="145"/>
      <c r="F562" s="144"/>
    </row>
    <row r="563" spans="1:6" ht="14.25" customHeight="1">
      <c r="A563" s="143"/>
      <c r="B563" s="144"/>
      <c r="C563" s="144"/>
      <c r="D563" s="144"/>
      <c r="E563" s="145"/>
      <c r="F563" s="144"/>
    </row>
    <row r="564" spans="1:6" ht="14.25" customHeight="1">
      <c r="A564" s="143"/>
      <c r="B564" s="144"/>
      <c r="C564" s="144"/>
      <c r="D564" s="144"/>
      <c r="E564" s="145"/>
      <c r="F564" s="144"/>
    </row>
    <row r="565" spans="1:6" ht="14.25" customHeight="1">
      <c r="A565" s="143"/>
      <c r="B565" s="144"/>
      <c r="C565" s="144"/>
      <c r="D565" s="144"/>
      <c r="E565" s="145"/>
      <c r="F565" s="144"/>
    </row>
    <row r="566" spans="1:6" ht="14.25" customHeight="1">
      <c r="A566" s="143"/>
      <c r="B566" s="144"/>
      <c r="C566" s="144"/>
      <c r="D566" s="144"/>
      <c r="E566" s="145"/>
      <c r="F566" s="144"/>
    </row>
    <row r="567" spans="1:6" ht="14.25" customHeight="1">
      <c r="A567" s="143"/>
      <c r="B567" s="144"/>
      <c r="C567" s="144"/>
      <c r="D567" s="144"/>
      <c r="E567" s="145"/>
      <c r="F567" s="144"/>
    </row>
    <row r="568" spans="1:6" ht="14.25" customHeight="1">
      <c r="A568" s="143"/>
      <c r="B568" s="144"/>
      <c r="C568" s="144"/>
      <c r="D568" s="144"/>
      <c r="E568" s="145"/>
      <c r="F568" s="144"/>
    </row>
    <row r="569" spans="1:6" ht="14.25" customHeight="1">
      <c r="A569" s="143"/>
      <c r="B569" s="144"/>
      <c r="C569" s="144"/>
      <c r="D569" s="144"/>
      <c r="E569" s="145"/>
      <c r="F569" s="144"/>
    </row>
    <row r="570" spans="1:6" ht="14.25" customHeight="1">
      <c r="A570" s="143"/>
      <c r="B570" s="144"/>
      <c r="C570" s="144"/>
      <c r="D570" s="144"/>
      <c r="E570" s="145"/>
      <c r="F570" s="144"/>
    </row>
    <row r="571" spans="1:6" ht="14.25" customHeight="1">
      <c r="A571" s="143"/>
      <c r="B571" s="144"/>
      <c r="C571" s="144"/>
      <c r="D571" s="144"/>
      <c r="E571" s="145"/>
      <c r="F571" s="144"/>
    </row>
    <row r="572" spans="1:6" ht="14.25" customHeight="1">
      <c r="A572" s="143"/>
      <c r="B572" s="144"/>
      <c r="C572" s="144"/>
      <c r="D572" s="144"/>
      <c r="E572" s="145"/>
      <c r="F572" s="144"/>
    </row>
    <row r="573" spans="1:6" ht="14.25" customHeight="1">
      <c r="A573" s="143"/>
      <c r="B573" s="144"/>
      <c r="C573" s="144"/>
      <c r="D573" s="144"/>
      <c r="E573" s="145"/>
      <c r="F573" s="144"/>
    </row>
    <row r="574" spans="1:6" ht="14.25" customHeight="1">
      <c r="A574" s="143"/>
      <c r="B574" s="144"/>
      <c r="C574" s="144"/>
      <c r="D574" s="144"/>
      <c r="E574" s="145"/>
      <c r="F574" s="144"/>
    </row>
    <row r="575" spans="1:6" ht="14.25" customHeight="1">
      <c r="A575" s="143"/>
      <c r="B575" s="144"/>
      <c r="C575" s="144"/>
      <c r="D575" s="144"/>
      <c r="E575" s="145"/>
      <c r="F575" s="144"/>
    </row>
    <row r="576" spans="1:6" ht="14.25" customHeight="1">
      <c r="A576" s="143"/>
      <c r="B576" s="144"/>
      <c r="C576" s="144"/>
      <c r="D576" s="144"/>
      <c r="E576" s="145"/>
      <c r="F576" s="144"/>
    </row>
    <row r="577" spans="1:6" ht="14.25" customHeight="1">
      <c r="A577" s="143"/>
      <c r="B577" s="144"/>
      <c r="C577" s="144"/>
      <c r="D577" s="144"/>
      <c r="E577" s="145"/>
      <c r="F577" s="144"/>
    </row>
    <row r="578" spans="1:6" ht="14.25" customHeight="1">
      <c r="A578" s="143"/>
      <c r="B578" s="144"/>
      <c r="C578" s="144"/>
      <c r="D578" s="144"/>
      <c r="E578" s="145"/>
      <c r="F578" s="144"/>
    </row>
    <row r="579" spans="1:6" ht="14.25" customHeight="1">
      <c r="A579" s="143"/>
      <c r="B579" s="144"/>
      <c r="C579" s="144"/>
      <c r="D579" s="144"/>
      <c r="E579" s="145"/>
      <c r="F579" s="144"/>
    </row>
    <row r="580" spans="1:6" ht="14.25" customHeight="1">
      <c r="A580" s="143"/>
      <c r="B580" s="144"/>
      <c r="C580" s="144"/>
      <c r="D580" s="144"/>
      <c r="E580" s="145"/>
      <c r="F580" s="144"/>
    </row>
    <row r="581" spans="1:6" ht="14.25" customHeight="1">
      <c r="A581" s="143"/>
      <c r="B581" s="144"/>
      <c r="C581" s="144"/>
      <c r="D581" s="144"/>
      <c r="E581" s="145"/>
      <c r="F581" s="144"/>
    </row>
    <row r="582" spans="1:6" ht="14.25" customHeight="1">
      <c r="A582" s="143"/>
      <c r="B582" s="144"/>
      <c r="C582" s="144"/>
      <c r="D582" s="144"/>
      <c r="E582" s="145"/>
      <c r="F582" s="144"/>
    </row>
    <row r="583" spans="1:6" ht="14.25" customHeight="1">
      <c r="A583" s="143"/>
      <c r="B583" s="144"/>
      <c r="C583" s="144"/>
      <c r="D583" s="144"/>
      <c r="E583" s="145"/>
      <c r="F583" s="144"/>
    </row>
    <row r="584" spans="1:6" ht="14.25" customHeight="1">
      <c r="A584" s="143"/>
      <c r="B584" s="144"/>
      <c r="C584" s="144"/>
      <c r="D584" s="144"/>
      <c r="E584" s="145"/>
      <c r="F584" s="144"/>
    </row>
    <row r="585" spans="1:6" ht="14.25" customHeight="1">
      <c r="A585" s="143"/>
      <c r="B585" s="144"/>
      <c r="C585" s="144"/>
      <c r="D585" s="144"/>
      <c r="E585" s="145"/>
      <c r="F585" s="144"/>
    </row>
    <row r="586" spans="1:6" ht="14.25" customHeight="1">
      <c r="A586" s="143"/>
      <c r="B586" s="144"/>
      <c r="C586" s="144"/>
      <c r="D586" s="144"/>
      <c r="E586" s="145"/>
      <c r="F586" s="144"/>
    </row>
    <row r="587" spans="1:6" ht="14.25" customHeight="1">
      <c r="A587" s="143"/>
      <c r="B587" s="144"/>
      <c r="C587" s="144"/>
      <c r="D587" s="144"/>
      <c r="E587" s="145"/>
      <c r="F587" s="144"/>
    </row>
    <row r="588" spans="1:6" ht="14.25" customHeight="1">
      <c r="A588" s="143"/>
      <c r="B588" s="144"/>
      <c r="C588" s="144"/>
      <c r="D588" s="144"/>
      <c r="E588" s="145"/>
      <c r="F588" s="144"/>
    </row>
    <row r="589" spans="1:6" ht="14.25" customHeight="1">
      <c r="A589" s="143"/>
      <c r="B589" s="144"/>
      <c r="C589" s="144"/>
      <c r="D589" s="144"/>
      <c r="E589" s="145"/>
      <c r="F589" s="144"/>
    </row>
    <row r="590" spans="1:6" ht="14.25" customHeight="1">
      <c r="A590" s="143"/>
      <c r="B590" s="144"/>
      <c r="C590" s="144"/>
      <c r="D590" s="144"/>
      <c r="E590" s="145"/>
      <c r="F590" s="144"/>
    </row>
    <row r="591" spans="1:6" ht="14.25" customHeight="1">
      <c r="A591" s="143"/>
      <c r="B591" s="144"/>
      <c r="C591" s="144"/>
      <c r="D591" s="144"/>
      <c r="E591" s="145"/>
      <c r="F591" s="144"/>
    </row>
    <row r="592" spans="1:6" ht="14.25" customHeight="1">
      <c r="A592" s="143"/>
      <c r="B592" s="144"/>
      <c r="C592" s="144"/>
      <c r="D592" s="144"/>
      <c r="E592" s="145"/>
      <c r="F592" s="144"/>
    </row>
    <row r="593" spans="1:6" ht="14.25" customHeight="1">
      <c r="A593" s="143"/>
      <c r="B593" s="144"/>
      <c r="C593" s="144"/>
      <c r="D593" s="144"/>
      <c r="E593" s="145"/>
      <c r="F593" s="144"/>
    </row>
    <row r="594" spans="1:6" ht="14.25" customHeight="1">
      <c r="A594" s="143"/>
      <c r="B594" s="144"/>
      <c r="C594" s="144"/>
      <c r="D594" s="144"/>
      <c r="E594" s="145"/>
      <c r="F594" s="144"/>
    </row>
    <row r="595" spans="1:6" ht="14.25" customHeight="1">
      <c r="A595" s="143"/>
      <c r="B595" s="144"/>
      <c r="C595" s="144"/>
      <c r="D595" s="144"/>
      <c r="E595" s="145"/>
      <c r="F595" s="144"/>
    </row>
    <row r="596" spans="1:6" ht="14.25" customHeight="1">
      <c r="A596" s="143"/>
      <c r="B596" s="144"/>
      <c r="C596" s="144"/>
      <c r="D596" s="144"/>
      <c r="E596" s="145"/>
      <c r="F596" s="144"/>
    </row>
    <row r="597" spans="1:6" ht="14.25" customHeight="1">
      <c r="A597" s="143"/>
      <c r="B597" s="144"/>
      <c r="C597" s="144"/>
      <c r="D597" s="144"/>
      <c r="E597" s="145"/>
      <c r="F597" s="144"/>
    </row>
    <row r="598" spans="1:6" ht="14.25" customHeight="1">
      <c r="A598" s="143"/>
      <c r="B598" s="144"/>
      <c r="C598" s="144"/>
      <c r="D598" s="144"/>
      <c r="E598" s="145"/>
      <c r="F598" s="144"/>
    </row>
    <row r="599" spans="1:6" ht="14.25" customHeight="1">
      <c r="A599" s="143"/>
      <c r="B599" s="144"/>
      <c r="C599" s="144"/>
      <c r="D599" s="144"/>
      <c r="E599" s="145"/>
      <c r="F599" s="144"/>
    </row>
    <row r="600" spans="1:6" ht="14.25" customHeight="1">
      <c r="A600" s="143"/>
      <c r="B600" s="144"/>
      <c r="C600" s="144"/>
      <c r="D600" s="144"/>
      <c r="E600" s="145"/>
      <c r="F600" s="144"/>
    </row>
    <row r="601" spans="1:6" ht="14.25" customHeight="1">
      <c r="A601" s="143"/>
      <c r="B601" s="144"/>
      <c r="C601" s="144"/>
      <c r="D601" s="144"/>
      <c r="E601" s="145"/>
      <c r="F601" s="144"/>
    </row>
    <row r="602" spans="1:6" ht="14.25" customHeight="1">
      <c r="A602" s="143"/>
      <c r="B602" s="144"/>
      <c r="C602" s="144"/>
      <c r="D602" s="144"/>
      <c r="E602" s="145"/>
      <c r="F602" s="144"/>
    </row>
    <row r="603" spans="1:6" ht="14.25" customHeight="1">
      <c r="A603" s="143"/>
      <c r="B603" s="144"/>
      <c r="C603" s="144"/>
      <c r="D603" s="144"/>
      <c r="E603" s="145"/>
      <c r="F603" s="144"/>
    </row>
    <row r="604" spans="1:6" ht="14.25" customHeight="1">
      <c r="A604" s="143"/>
      <c r="B604" s="144"/>
      <c r="C604" s="144"/>
      <c r="D604" s="144"/>
      <c r="E604" s="145"/>
      <c r="F604" s="144"/>
    </row>
    <row r="605" spans="1:6" ht="14.25" customHeight="1">
      <c r="A605" s="143"/>
      <c r="B605" s="144"/>
      <c r="C605" s="144"/>
      <c r="D605" s="144"/>
      <c r="E605" s="145"/>
      <c r="F605" s="144"/>
    </row>
    <row r="606" spans="1:6" ht="14.25" customHeight="1">
      <c r="A606" s="143"/>
      <c r="B606" s="144"/>
      <c r="C606" s="144"/>
      <c r="D606" s="144"/>
      <c r="E606" s="145"/>
      <c r="F606" s="144"/>
    </row>
    <row r="607" spans="1:6" ht="14.25" customHeight="1">
      <c r="A607" s="143"/>
      <c r="B607" s="144"/>
      <c r="C607" s="144"/>
      <c r="D607" s="144"/>
      <c r="E607" s="145"/>
      <c r="F607" s="144"/>
    </row>
    <row r="608" spans="1:6" ht="14.25" customHeight="1">
      <c r="A608" s="143"/>
      <c r="B608" s="144"/>
      <c r="C608" s="144"/>
      <c r="D608" s="144"/>
      <c r="E608" s="145"/>
      <c r="F608" s="144"/>
    </row>
    <row r="609" spans="1:6" ht="14.25" customHeight="1">
      <c r="A609" s="143"/>
      <c r="B609" s="144"/>
      <c r="C609" s="144"/>
      <c r="D609" s="144"/>
      <c r="E609" s="145"/>
      <c r="F609" s="144"/>
    </row>
    <row r="610" spans="1:6" ht="14.25" customHeight="1">
      <c r="A610" s="143"/>
      <c r="B610" s="144"/>
      <c r="C610" s="144"/>
      <c r="D610" s="144"/>
      <c r="E610" s="145"/>
      <c r="F610" s="144"/>
    </row>
    <row r="611" spans="1:6" ht="14.25" customHeight="1">
      <c r="A611" s="143"/>
      <c r="B611" s="144"/>
      <c r="C611" s="144"/>
      <c r="D611" s="144"/>
      <c r="E611" s="145"/>
      <c r="F611" s="144"/>
    </row>
    <row r="612" spans="1:6" ht="14.25" customHeight="1">
      <c r="A612" s="143"/>
      <c r="B612" s="144"/>
      <c r="C612" s="144"/>
      <c r="D612" s="144"/>
      <c r="E612" s="145"/>
      <c r="F612" s="144"/>
    </row>
    <row r="613" spans="1:6" ht="14.25" customHeight="1">
      <c r="A613" s="143"/>
      <c r="B613" s="144"/>
      <c r="C613" s="144"/>
      <c r="D613" s="144"/>
      <c r="E613" s="145"/>
      <c r="F613" s="144"/>
    </row>
    <row r="614" spans="1:6" ht="14.25" customHeight="1">
      <c r="A614" s="143"/>
      <c r="B614" s="144"/>
      <c r="C614" s="144"/>
      <c r="D614" s="144"/>
      <c r="E614" s="145"/>
      <c r="F614" s="144"/>
    </row>
    <row r="615" spans="1:6" ht="14.25" customHeight="1">
      <c r="A615" s="143"/>
      <c r="B615" s="144"/>
      <c r="C615" s="144"/>
      <c r="D615" s="144"/>
      <c r="E615" s="145"/>
      <c r="F615" s="144"/>
    </row>
    <row r="616" spans="1:6" ht="14.25" customHeight="1">
      <c r="A616" s="143"/>
      <c r="B616" s="144"/>
      <c r="C616" s="144"/>
      <c r="D616" s="144"/>
      <c r="E616" s="145"/>
      <c r="F616" s="144"/>
    </row>
    <row r="617" spans="1:6" ht="14.25" customHeight="1">
      <c r="A617" s="143"/>
      <c r="B617" s="144"/>
      <c r="C617" s="144"/>
      <c r="D617" s="144"/>
      <c r="E617" s="145"/>
      <c r="F617" s="144"/>
    </row>
    <row r="618" spans="1:6" ht="14.25" customHeight="1">
      <c r="A618" s="143"/>
      <c r="B618" s="144"/>
      <c r="C618" s="144"/>
      <c r="D618" s="144"/>
      <c r="E618" s="145"/>
      <c r="F618" s="144"/>
    </row>
    <row r="619" spans="1:6" ht="14.25" customHeight="1">
      <c r="A619" s="143"/>
      <c r="B619" s="144"/>
      <c r="C619" s="144"/>
      <c r="D619" s="144"/>
      <c r="E619" s="145"/>
      <c r="F619" s="144"/>
    </row>
    <row r="620" spans="1:6" ht="14.25" customHeight="1">
      <c r="A620" s="143"/>
      <c r="B620" s="144"/>
      <c r="C620" s="144"/>
      <c r="D620" s="144"/>
      <c r="E620" s="145"/>
      <c r="F620" s="144"/>
    </row>
    <row r="621" spans="1:6" ht="14.25" customHeight="1">
      <c r="A621" s="143"/>
      <c r="B621" s="144"/>
      <c r="C621" s="144"/>
      <c r="D621" s="144"/>
      <c r="E621" s="145"/>
      <c r="F621" s="144"/>
    </row>
    <row r="622" spans="1:6" ht="14.25" customHeight="1">
      <c r="A622" s="143"/>
      <c r="B622" s="144"/>
      <c r="C622" s="144"/>
      <c r="D622" s="144"/>
      <c r="E622" s="145"/>
      <c r="F622" s="144"/>
    </row>
    <row r="623" spans="1:6" ht="14.25" customHeight="1">
      <c r="A623" s="143"/>
      <c r="B623" s="144"/>
      <c r="C623" s="144"/>
      <c r="D623" s="144"/>
      <c r="E623" s="145"/>
      <c r="F623" s="144"/>
    </row>
    <row r="624" spans="1:6" ht="14.25" customHeight="1">
      <c r="A624" s="143"/>
      <c r="B624" s="144"/>
      <c r="C624" s="144"/>
      <c r="D624" s="144"/>
      <c r="E624" s="145"/>
      <c r="F624" s="144"/>
    </row>
    <row r="625" spans="1:6" ht="14.25" customHeight="1">
      <c r="A625" s="143"/>
      <c r="B625" s="144"/>
      <c r="C625" s="144"/>
      <c r="D625" s="144"/>
      <c r="E625" s="145"/>
      <c r="F625" s="144"/>
    </row>
    <row r="626" spans="1:6" ht="14.25" customHeight="1">
      <c r="A626" s="143"/>
      <c r="B626" s="144"/>
      <c r="C626" s="144"/>
      <c r="D626" s="144"/>
      <c r="E626" s="145"/>
      <c r="F626" s="144"/>
    </row>
    <row r="627" spans="1:6" ht="14.25" customHeight="1">
      <c r="A627" s="143"/>
      <c r="B627" s="144"/>
      <c r="C627" s="144"/>
      <c r="D627" s="144"/>
      <c r="E627" s="145"/>
      <c r="F627" s="144"/>
    </row>
    <row r="628" spans="1:6" ht="14.25" customHeight="1">
      <c r="A628" s="143"/>
      <c r="B628" s="144"/>
      <c r="C628" s="144"/>
      <c r="D628" s="144"/>
      <c r="E628" s="145"/>
      <c r="F628" s="144"/>
    </row>
    <row r="629" spans="1:6" ht="14.25" customHeight="1">
      <c r="A629" s="143"/>
      <c r="B629" s="144"/>
      <c r="C629" s="144"/>
      <c r="D629" s="144"/>
      <c r="E629" s="145"/>
      <c r="F629" s="144"/>
    </row>
    <row r="630" spans="1:6" ht="14.25" customHeight="1">
      <c r="A630" s="143"/>
      <c r="B630" s="144"/>
      <c r="C630" s="144"/>
      <c r="D630" s="144"/>
      <c r="E630" s="145"/>
      <c r="F630" s="144"/>
    </row>
    <row r="631" spans="1:6" ht="14.25" customHeight="1">
      <c r="A631" s="143"/>
      <c r="B631" s="144"/>
      <c r="C631" s="144"/>
      <c r="D631" s="144"/>
      <c r="E631" s="145"/>
      <c r="F631" s="144"/>
    </row>
    <row r="632" spans="1:6" ht="14.25" customHeight="1">
      <c r="A632" s="143"/>
      <c r="B632" s="144"/>
      <c r="C632" s="144"/>
      <c r="D632" s="144"/>
      <c r="E632" s="145"/>
      <c r="F632" s="144"/>
    </row>
    <row r="633" spans="1:6" ht="14.25" customHeight="1">
      <c r="A633" s="143"/>
      <c r="B633" s="144"/>
      <c r="C633" s="144"/>
      <c r="D633" s="144"/>
      <c r="E633" s="145"/>
      <c r="F633" s="144"/>
    </row>
    <row r="634" spans="1:6" ht="14.25" customHeight="1">
      <c r="A634" s="143"/>
      <c r="B634" s="144"/>
      <c r="C634" s="144"/>
      <c r="D634" s="144"/>
      <c r="E634" s="145"/>
      <c r="F634" s="144"/>
    </row>
    <row r="635" spans="1:6" ht="14.25" customHeight="1">
      <c r="A635" s="143"/>
      <c r="B635" s="144"/>
      <c r="C635" s="144"/>
      <c r="D635" s="144"/>
      <c r="E635" s="145"/>
      <c r="F635" s="144"/>
    </row>
    <row r="636" spans="1:6" ht="14.25" customHeight="1">
      <c r="A636" s="143"/>
      <c r="B636" s="144"/>
      <c r="C636" s="144"/>
      <c r="D636" s="144"/>
      <c r="E636" s="145"/>
      <c r="F636" s="144"/>
    </row>
    <row r="637" spans="1:6" ht="14.25" customHeight="1">
      <c r="A637" s="143"/>
      <c r="B637" s="144"/>
      <c r="C637" s="144"/>
      <c r="D637" s="144"/>
      <c r="E637" s="145"/>
      <c r="F637" s="144"/>
    </row>
    <row r="638" spans="1:6" ht="14.25" customHeight="1">
      <c r="A638" s="143"/>
      <c r="B638" s="144"/>
      <c r="C638" s="144"/>
      <c r="D638" s="144"/>
      <c r="E638" s="145"/>
      <c r="F638" s="144"/>
    </row>
    <row r="639" spans="1:6" ht="14.25" customHeight="1">
      <c r="A639" s="143"/>
      <c r="B639" s="144"/>
      <c r="C639" s="144"/>
      <c r="D639" s="144"/>
      <c r="E639" s="145"/>
      <c r="F639" s="144"/>
    </row>
    <row r="640" spans="1:6" ht="14.25" customHeight="1">
      <c r="A640" s="143"/>
      <c r="B640" s="144"/>
      <c r="C640" s="144"/>
      <c r="D640" s="144"/>
      <c r="E640" s="145"/>
      <c r="F640" s="144"/>
    </row>
    <row r="641" spans="1:6" ht="14.25" customHeight="1">
      <c r="A641" s="143"/>
      <c r="B641" s="144"/>
      <c r="C641" s="144"/>
      <c r="D641" s="144"/>
      <c r="E641" s="145"/>
      <c r="F641" s="144"/>
    </row>
    <row r="642" spans="1:6" ht="14.25" customHeight="1">
      <c r="A642" s="143"/>
      <c r="B642" s="144"/>
      <c r="C642" s="144"/>
      <c r="D642" s="144"/>
      <c r="E642" s="145"/>
      <c r="F642" s="144"/>
    </row>
    <row r="643" spans="1:6" ht="14.25" customHeight="1">
      <c r="A643" s="143"/>
      <c r="B643" s="144"/>
      <c r="C643" s="144"/>
      <c r="D643" s="144"/>
      <c r="E643" s="145"/>
      <c r="F643" s="144"/>
    </row>
    <row r="644" spans="1:6" ht="14.25" customHeight="1">
      <c r="A644" s="143"/>
      <c r="B644" s="144"/>
      <c r="C644" s="144"/>
      <c r="D644" s="144"/>
      <c r="E644" s="145"/>
      <c r="F644" s="144"/>
    </row>
    <row r="645" spans="1:6" ht="14.25" customHeight="1">
      <c r="A645" s="143"/>
      <c r="B645" s="144"/>
      <c r="C645" s="144"/>
      <c r="D645" s="144"/>
      <c r="E645" s="145"/>
      <c r="F645" s="144"/>
    </row>
    <row r="646" spans="1:6" ht="14.25" customHeight="1">
      <c r="A646" s="143"/>
      <c r="B646" s="144"/>
      <c r="C646" s="144"/>
      <c r="D646" s="144"/>
      <c r="E646" s="145"/>
      <c r="F646" s="144"/>
    </row>
    <row r="647" spans="1:6" ht="14.25" customHeight="1">
      <c r="A647" s="143"/>
      <c r="B647" s="144"/>
      <c r="C647" s="144"/>
      <c r="D647" s="144"/>
      <c r="E647" s="145"/>
      <c r="F647" s="144"/>
    </row>
    <row r="648" spans="1:6" ht="14.25" customHeight="1">
      <c r="A648" s="143"/>
      <c r="B648" s="144"/>
      <c r="C648" s="144"/>
      <c r="D648" s="144"/>
      <c r="E648" s="145"/>
      <c r="F648" s="144"/>
    </row>
    <row r="649" spans="1:6" ht="14.25" customHeight="1">
      <c r="A649" s="143"/>
      <c r="B649" s="144"/>
      <c r="C649" s="144"/>
      <c r="D649" s="144"/>
      <c r="E649" s="145"/>
      <c r="F649" s="144"/>
    </row>
    <row r="650" spans="1:6" ht="14.25" customHeight="1">
      <c r="A650" s="143"/>
      <c r="B650" s="144"/>
      <c r="C650" s="144"/>
      <c r="D650" s="144"/>
      <c r="E650" s="145"/>
      <c r="F650" s="144"/>
    </row>
    <row r="651" spans="1:6" ht="14.25" customHeight="1">
      <c r="A651" s="143"/>
      <c r="B651" s="144"/>
      <c r="C651" s="144"/>
      <c r="D651" s="144"/>
      <c r="E651" s="145"/>
      <c r="F651" s="144"/>
    </row>
    <row r="652" spans="1:6" ht="14.25" customHeight="1">
      <c r="A652" s="143"/>
      <c r="B652" s="144"/>
      <c r="C652" s="144"/>
      <c r="D652" s="144"/>
      <c r="E652" s="145"/>
      <c r="F652" s="144"/>
    </row>
    <row r="653" spans="1:6" ht="14.25" customHeight="1">
      <c r="A653" s="143"/>
      <c r="B653" s="144"/>
      <c r="C653" s="144"/>
      <c r="D653" s="144"/>
      <c r="E653" s="145"/>
      <c r="F653" s="144"/>
    </row>
    <row r="654" spans="1:6" ht="14.25" customHeight="1">
      <c r="A654" s="143"/>
      <c r="B654" s="144"/>
      <c r="C654" s="144"/>
      <c r="D654" s="144"/>
      <c r="E654" s="145"/>
      <c r="F654" s="144"/>
    </row>
    <row r="655" spans="1:6" ht="14.25" customHeight="1">
      <c r="A655" s="143"/>
      <c r="B655" s="144"/>
      <c r="C655" s="144"/>
      <c r="D655" s="144"/>
      <c r="E655" s="145"/>
      <c r="F655" s="144"/>
    </row>
    <row r="656" spans="1:6" ht="14.25" customHeight="1">
      <c r="A656" s="143"/>
      <c r="B656" s="144"/>
      <c r="C656" s="144"/>
      <c r="D656" s="144"/>
      <c r="E656" s="145"/>
      <c r="F656" s="144"/>
    </row>
    <row r="657" spans="1:6" ht="14.25" customHeight="1">
      <c r="A657" s="143"/>
      <c r="B657" s="144"/>
      <c r="C657" s="144"/>
      <c r="D657" s="144"/>
      <c r="E657" s="145"/>
      <c r="F657" s="144"/>
    </row>
    <row r="658" spans="1:6" ht="14.25" customHeight="1">
      <c r="A658" s="143"/>
      <c r="B658" s="144"/>
      <c r="C658" s="144"/>
      <c r="D658" s="144"/>
      <c r="E658" s="145"/>
      <c r="F658" s="144"/>
    </row>
    <row r="659" spans="1:6" ht="14.25" customHeight="1">
      <c r="A659" s="143"/>
      <c r="B659" s="144"/>
      <c r="C659" s="144"/>
      <c r="D659" s="144"/>
      <c r="E659" s="145"/>
      <c r="F659" s="144"/>
    </row>
    <row r="660" spans="1:6" ht="14.25" customHeight="1">
      <c r="A660" s="143"/>
      <c r="B660" s="144"/>
      <c r="C660" s="144"/>
      <c r="D660" s="144"/>
      <c r="E660" s="145"/>
      <c r="F660" s="144"/>
    </row>
    <row r="661" spans="1:6" ht="14.25" customHeight="1">
      <c r="A661" s="143"/>
      <c r="B661" s="144"/>
      <c r="C661" s="144"/>
      <c r="D661" s="144"/>
      <c r="E661" s="145"/>
      <c r="F661" s="144"/>
    </row>
    <row r="662" spans="1:6" ht="14.25" customHeight="1">
      <c r="A662" s="143"/>
      <c r="B662" s="144"/>
      <c r="C662" s="144"/>
      <c r="D662" s="144"/>
      <c r="E662" s="145"/>
      <c r="F662" s="144"/>
    </row>
    <row r="663" spans="1:6" ht="14.25" customHeight="1">
      <c r="A663" s="143"/>
      <c r="B663" s="144"/>
      <c r="C663" s="144"/>
      <c r="D663" s="144"/>
      <c r="E663" s="145"/>
      <c r="F663" s="144"/>
    </row>
    <row r="664" spans="1:6" ht="14.25" customHeight="1">
      <c r="A664" s="143"/>
      <c r="B664" s="144"/>
      <c r="C664" s="144"/>
      <c r="D664" s="144"/>
      <c r="E664" s="145"/>
      <c r="F664" s="144"/>
    </row>
    <row r="665" spans="1:6" ht="14.25" customHeight="1">
      <c r="A665" s="143"/>
      <c r="B665" s="144"/>
      <c r="C665" s="144"/>
      <c r="D665" s="144"/>
      <c r="E665" s="145"/>
      <c r="F665" s="144"/>
    </row>
    <row r="666" spans="1:6" ht="14.25" customHeight="1">
      <c r="A666" s="143"/>
      <c r="B666" s="144"/>
      <c r="C666" s="144"/>
      <c r="D666" s="144"/>
      <c r="E666" s="145"/>
      <c r="F666" s="144"/>
    </row>
    <row r="667" spans="1:6" ht="14.25" customHeight="1">
      <c r="A667" s="143"/>
      <c r="B667" s="144"/>
      <c r="C667" s="144"/>
      <c r="D667" s="144"/>
      <c r="E667" s="145"/>
      <c r="F667" s="144"/>
    </row>
    <row r="668" spans="1:6" ht="14.25" customHeight="1">
      <c r="A668" s="143"/>
      <c r="B668" s="144"/>
      <c r="C668" s="144"/>
      <c r="D668" s="144"/>
      <c r="E668" s="145"/>
      <c r="F668" s="144"/>
    </row>
    <row r="669" spans="1:6" ht="14.25" customHeight="1">
      <c r="A669" s="143"/>
      <c r="B669" s="144"/>
      <c r="C669" s="144"/>
      <c r="D669" s="144"/>
      <c r="E669" s="145"/>
      <c r="F669" s="144"/>
    </row>
    <row r="670" spans="1:6" ht="14.25" customHeight="1">
      <c r="A670" s="143"/>
      <c r="B670" s="144"/>
      <c r="C670" s="144"/>
      <c r="D670" s="144"/>
      <c r="E670" s="145"/>
      <c r="F670" s="144"/>
    </row>
    <row r="671" spans="1:6" ht="14.25" customHeight="1">
      <c r="A671" s="143"/>
      <c r="B671" s="144"/>
      <c r="C671" s="144"/>
      <c r="D671" s="144"/>
      <c r="E671" s="145"/>
      <c r="F671" s="144"/>
    </row>
    <row r="672" spans="1:6" ht="14.25" customHeight="1">
      <c r="A672" s="143"/>
      <c r="B672" s="144"/>
      <c r="C672" s="144"/>
      <c r="D672" s="144"/>
      <c r="E672" s="145"/>
      <c r="F672" s="144"/>
    </row>
    <row r="673" spans="1:6" ht="14.25" customHeight="1">
      <c r="A673" s="143"/>
      <c r="B673" s="144"/>
      <c r="C673" s="144"/>
      <c r="D673" s="144"/>
      <c r="E673" s="145"/>
      <c r="F673" s="144"/>
    </row>
    <row r="674" spans="1:6" ht="14.25" customHeight="1">
      <c r="A674" s="143"/>
      <c r="B674" s="144"/>
      <c r="C674" s="144"/>
      <c r="D674" s="144"/>
      <c r="E674" s="145"/>
      <c r="F674" s="144"/>
    </row>
    <row r="675" spans="1:6" ht="14.25" customHeight="1">
      <c r="A675" s="143"/>
      <c r="B675" s="144"/>
      <c r="C675" s="144"/>
      <c r="D675" s="144"/>
      <c r="E675" s="145"/>
      <c r="F675" s="144"/>
    </row>
    <row r="676" spans="1:6" ht="14.25" customHeight="1">
      <c r="A676" s="143"/>
      <c r="B676" s="144"/>
      <c r="C676" s="144"/>
      <c r="D676" s="144"/>
      <c r="E676" s="145"/>
      <c r="F676" s="144"/>
    </row>
    <row r="677" spans="1:6" ht="14.25" customHeight="1">
      <c r="A677" s="143"/>
      <c r="B677" s="144"/>
      <c r="C677" s="144"/>
      <c r="D677" s="144"/>
      <c r="E677" s="145"/>
      <c r="F677" s="144"/>
    </row>
    <row r="678" spans="1:6" ht="14.25" customHeight="1">
      <c r="A678" s="143"/>
      <c r="B678" s="144"/>
      <c r="C678" s="144"/>
      <c r="D678" s="144"/>
      <c r="E678" s="145"/>
      <c r="F678" s="144"/>
    </row>
    <row r="679" spans="1:6" ht="14.25" customHeight="1">
      <c r="A679" s="143"/>
      <c r="B679" s="144"/>
      <c r="C679" s="144"/>
      <c r="D679" s="144"/>
      <c r="E679" s="145"/>
      <c r="F679" s="144"/>
    </row>
    <row r="680" spans="1:6" ht="14.25" customHeight="1">
      <c r="A680" s="143"/>
      <c r="B680" s="144"/>
      <c r="C680" s="144"/>
      <c r="D680" s="144"/>
      <c r="E680" s="145"/>
      <c r="F680" s="144"/>
    </row>
    <row r="681" spans="1:6" ht="14.25" customHeight="1">
      <c r="A681" s="143"/>
      <c r="B681" s="144"/>
      <c r="C681" s="144"/>
      <c r="D681" s="144"/>
      <c r="E681" s="145"/>
      <c r="F681" s="144"/>
    </row>
    <row r="682" spans="1:6" ht="14.25" customHeight="1">
      <c r="A682" s="143"/>
      <c r="B682" s="144"/>
      <c r="C682" s="144"/>
      <c r="D682" s="144"/>
      <c r="E682" s="145"/>
      <c r="F682" s="144"/>
    </row>
    <row r="683" spans="1:6" ht="14.25" customHeight="1">
      <c r="A683" s="143"/>
      <c r="B683" s="144"/>
      <c r="C683" s="144"/>
      <c r="D683" s="144"/>
      <c r="E683" s="145"/>
      <c r="F683" s="144"/>
    </row>
    <row r="684" spans="1:6" ht="14.25" customHeight="1">
      <c r="A684" s="143"/>
      <c r="B684" s="144"/>
      <c r="C684" s="144"/>
      <c r="D684" s="144"/>
      <c r="E684" s="145"/>
      <c r="F684" s="144"/>
    </row>
    <row r="685" spans="1:6" ht="14.25" customHeight="1">
      <c r="A685" s="143"/>
      <c r="B685" s="144"/>
      <c r="C685" s="144"/>
      <c r="D685" s="144"/>
      <c r="E685" s="145"/>
      <c r="F685" s="144"/>
    </row>
    <row r="686" spans="1:6" ht="14.25" customHeight="1">
      <c r="A686" s="143"/>
      <c r="B686" s="144"/>
      <c r="C686" s="144"/>
      <c r="D686" s="144"/>
      <c r="E686" s="145"/>
      <c r="F686" s="144"/>
    </row>
    <row r="687" spans="1:6" ht="14.25" customHeight="1">
      <c r="A687" s="143"/>
      <c r="B687" s="144"/>
      <c r="C687" s="144"/>
      <c r="D687" s="144"/>
      <c r="E687" s="145"/>
      <c r="F687" s="144"/>
    </row>
    <row r="688" spans="1:6" ht="14.25" customHeight="1">
      <c r="A688" s="143"/>
      <c r="B688" s="144"/>
      <c r="C688" s="144"/>
      <c r="D688" s="144"/>
      <c r="E688" s="145"/>
      <c r="F688" s="144"/>
    </row>
    <row r="689" spans="1:6" ht="14.25" customHeight="1">
      <c r="A689" s="143"/>
      <c r="B689" s="144"/>
      <c r="C689" s="144"/>
      <c r="D689" s="144"/>
      <c r="E689" s="145"/>
      <c r="F689" s="144"/>
    </row>
    <row r="690" spans="1:6" ht="14.25" customHeight="1">
      <c r="A690" s="143"/>
      <c r="B690" s="144"/>
      <c r="C690" s="144"/>
      <c r="D690" s="144"/>
      <c r="E690" s="145"/>
      <c r="F690" s="144"/>
    </row>
    <row r="691" spans="1:6" ht="14.25" customHeight="1">
      <c r="A691" s="143"/>
      <c r="B691" s="144"/>
      <c r="C691" s="144"/>
      <c r="D691" s="144"/>
      <c r="E691" s="145"/>
      <c r="F691" s="144"/>
    </row>
    <row r="692" spans="1:6" ht="14.25" customHeight="1">
      <c r="A692" s="143"/>
      <c r="B692" s="144"/>
      <c r="C692" s="144"/>
      <c r="D692" s="144"/>
      <c r="E692" s="145"/>
      <c r="F692" s="144"/>
    </row>
    <row r="693" spans="1:6" ht="14.25" customHeight="1">
      <c r="A693" s="143"/>
      <c r="B693" s="144"/>
      <c r="C693" s="144"/>
      <c r="D693" s="144"/>
      <c r="E693" s="145"/>
      <c r="F693" s="144"/>
    </row>
    <row r="694" spans="1:6" ht="14.25" customHeight="1">
      <c r="A694" s="143"/>
      <c r="B694" s="144"/>
      <c r="C694" s="144"/>
      <c r="D694" s="144"/>
      <c r="E694" s="145"/>
      <c r="F694" s="144"/>
    </row>
    <row r="695" spans="1:6" ht="14.25" customHeight="1">
      <c r="A695" s="143"/>
      <c r="B695" s="144"/>
      <c r="C695" s="144"/>
      <c r="D695" s="144"/>
      <c r="E695" s="145"/>
      <c r="F695" s="144"/>
    </row>
    <row r="696" spans="1:6" ht="14.25" customHeight="1">
      <c r="A696" s="143"/>
      <c r="B696" s="144"/>
      <c r="C696" s="144"/>
      <c r="D696" s="144"/>
      <c r="E696" s="145"/>
      <c r="F696" s="144"/>
    </row>
    <row r="697" spans="1:6" ht="14.25" customHeight="1">
      <c r="A697" s="143"/>
      <c r="B697" s="144"/>
      <c r="C697" s="144"/>
      <c r="D697" s="144"/>
      <c r="E697" s="145"/>
      <c r="F697" s="144"/>
    </row>
    <row r="698" spans="1:6" ht="14.25" customHeight="1">
      <c r="A698" s="143"/>
      <c r="B698" s="144"/>
      <c r="C698" s="144"/>
      <c r="D698" s="144"/>
      <c r="E698" s="145"/>
      <c r="F698" s="144"/>
    </row>
    <row r="699" spans="1:6" ht="14.25" customHeight="1">
      <c r="A699" s="143"/>
      <c r="B699" s="144"/>
      <c r="C699" s="144"/>
      <c r="D699" s="144"/>
      <c r="E699" s="145"/>
      <c r="F699" s="144"/>
    </row>
    <row r="700" spans="1:6" ht="14.25" customHeight="1">
      <c r="A700" s="143"/>
      <c r="B700" s="144"/>
      <c r="C700" s="144"/>
      <c r="D700" s="144"/>
      <c r="E700" s="145"/>
      <c r="F700" s="144"/>
    </row>
    <row r="701" spans="1:6" ht="14.25" customHeight="1">
      <c r="A701" s="143"/>
      <c r="B701" s="144"/>
      <c r="C701" s="144"/>
      <c r="D701" s="144"/>
      <c r="E701" s="145"/>
      <c r="F701" s="144"/>
    </row>
    <row r="702" spans="1:6" ht="14.25" customHeight="1">
      <c r="A702" s="143"/>
      <c r="B702" s="144"/>
      <c r="C702" s="144"/>
      <c r="D702" s="144"/>
      <c r="E702" s="145"/>
      <c r="F702" s="144"/>
    </row>
    <row r="703" spans="1:6" ht="14.25" customHeight="1">
      <c r="A703" s="143"/>
      <c r="B703" s="144"/>
      <c r="C703" s="144"/>
      <c r="D703" s="144"/>
      <c r="E703" s="145"/>
      <c r="F703" s="144"/>
    </row>
    <row r="704" spans="1:6" ht="14.25" customHeight="1">
      <c r="A704" s="143"/>
      <c r="B704" s="144"/>
      <c r="C704" s="144"/>
      <c r="D704" s="144"/>
      <c r="E704" s="145"/>
      <c r="F704" s="144"/>
    </row>
    <row r="705" spans="1:6" ht="14.25" customHeight="1">
      <c r="A705" s="143"/>
      <c r="B705" s="144"/>
      <c r="C705" s="144"/>
      <c r="D705" s="144"/>
      <c r="E705" s="145"/>
      <c r="F705" s="144"/>
    </row>
    <row r="706" spans="1:6" ht="14.25" customHeight="1">
      <c r="A706" s="143"/>
      <c r="B706" s="144"/>
      <c r="C706" s="144"/>
      <c r="D706" s="144"/>
      <c r="E706" s="145"/>
      <c r="F706" s="144"/>
    </row>
    <row r="707" spans="1:6" ht="14.25" customHeight="1">
      <c r="A707" s="143"/>
      <c r="B707" s="144"/>
      <c r="C707" s="144"/>
      <c r="D707" s="144"/>
      <c r="E707" s="145"/>
      <c r="F707" s="144"/>
    </row>
    <row r="708" spans="1:6" ht="14.25" customHeight="1">
      <c r="A708" s="143"/>
      <c r="B708" s="144"/>
      <c r="C708" s="144"/>
      <c r="D708" s="144"/>
      <c r="E708" s="145"/>
      <c r="F708" s="144"/>
    </row>
    <row r="709" spans="1:6" ht="14.25" customHeight="1">
      <c r="A709" s="143"/>
      <c r="B709" s="144"/>
      <c r="C709" s="144"/>
      <c r="D709" s="144"/>
      <c r="E709" s="145"/>
      <c r="F709" s="144"/>
    </row>
    <row r="710" spans="1:6" ht="14.25" customHeight="1">
      <c r="A710" s="143"/>
      <c r="B710" s="144"/>
      <c r="C710" s="144"/>
      <c r="D710" s="144"/>
      <c r="E710" s="145"/>
      <c r="F710" s="144"/>
    </row>
    <row r="711" spans="1:6" ht="14.25" customHeight="1">
      <c r="A711" s="143"/>
      <c r="B711" s="144"/>
      <c r="C711" s="144"/>
      <c r="D711" s="144"/>
      <c r="E711" s="145"/>
      <c r="F711" s="144"/>
    </row>
    <row r="712" spans="1:6" ht="14.25" customHeight="1">
      <c r="A712" s="143"/>
      <c r="B712" s="144"/>
      <c r="C712" s="144"/>
      <c r="D712" s="144"/>
      <c r="E712" s="145"/>
      <c r="F712" s="144"/>
    </row>
    <row r="713" spans="1:6" ht="14.25" customHeight="1">
      <c r="A713" s="143"/>
      <c r="B713" s="144"/>
      <c r="C713" s="144"/>
      <c r="D713" s="144"/>
      <c r="E713" s="145"/>
      <c r="F713" s="144"/>
    </row>
    <row r="714" spans="1:6" ht="14.25" customHeight="1">
      <c r="A714" s="143"/>
      <c r="B714" s="144"/>
      <c r="C714" s="144"/>
      <c r="D714" s="144"/>
      <c r="E714" s="145"/>
      <c r="F714" s="144"/>
    </row>
    <row r="715" spans="1:6" ht="14.25" customHeight="1">
      <c r="A715" s="143"/>
      <c r="B715" s="144"/>
      <c r="C715" s="144"/>
      <c r="D715" s="144"/>
      <c r="E715" s="145"/>
      <c r="F715" s="144"/>
    </row>
    <row r="716" spans="1:6" ht="14.25" customHeight="1">
      <c r="A716" s="143"/>
      <c r="B716" s="144"/>
      <c r="C716" s="144"/>
      <c r="D716" s="144"/>
      <c r="E716" s="145"/>
      <c r="F716" s="144"/>
    </row>
    <row r="717" spans="1:6" ht="14.25" customHeight="1">
      <c r="A717" s="143"/>
      <c r="B717" s="144"/>
      <c r="C717" s="144"/>
      <c r="D717" s="144"/>
      <c r="E717" s="145"/>
      <c r="F717" s="144"/>
    </row>
    <row r="718" spans="1:6" ht="14.25" customHeight="1">
      <c r="A718" s="143"/>
      <c r="B718" s="144"/>
      <c r="C718" s="144"/>
      <c r="D718" s="144"/>
      <c r="E718" s="145"/>
      <c r="F718" s="144"/>
    </row>
    <row r="719" spans="1:6" ht="14.25" customHeight="1">
      <c r="A719" s="143"/>
      <c r="B719" s="144"/>
      <c r="C719" s="144"/>
      <c r="D719" s="144"/>
      <c r="E719" s="145"/>
      <c r="F719" s="144"/>
    </row>
    <row r="720" spans="1:6" ht="14.25" customHeight="1">
      <c r="A720" s="143"/>
      <c r="B720" s="144"/>
      <c r="C720" s="144"/>
      <c r="D720" s="144"/>
      <c r="E720" s="145"/>
      <c r="F720" s="144"/>
    </row>
    <row r="721" spans="1:6" ht="14.25" customHeight="1">
      <c r="A721" s="143"/>
      <c r="B721" s="144"/>
      <c r="C721" s="144"/>
      <c r="D721" s="144"/>
      <c r="E721" s="145"/>
      <c r="F721" s="144"/>
    </row>
    <row r="722" spans="1:6" ht="14.25" customHeight="1">
      <c r="A722" s="143"/>
      <c r="B722" s="144"/>
      <c r="C722" s="144"/>
      <c r="D722" s="144"/>
      <c r="E722" s="145"/>
      <c r="F722" s="144"/>
    </row>
    <row r="723" spans="1:6" ht="14.25" customHeight="1">
      <c r="A723" s="143"/>
      <c r="B723" s="144"/>
      <c r="C723" s="144"/>
      <c r="D723" s="144"/>
      <c r="E723" s="145"/>
      <c r="F723" s="144"/>
    </row>
    <row r="724" spans="1:6" ht="14.25" customHeight="1">
      <c r="A724" s="143"/>
      <c r="B724" s="144"/>
      <c r="C724" s="144"/>
      <c r="D724" s="144"/>
      <c r="E724" s="145"/>
      <c r="F724" s="144"/>
    </row>
    <row r="725" spans="1:6" ht="14.25" customHeight="1">
      <c r="A725" s="143"/>
      <c r="B725" s="144"/>
      <c r="C725" s="144"/>
      <c r="D725" s="144"/>
      <c r="E725" s="145"/>
      <c r="F725" s="144"/>
    </row>
    <row r="726" spans="1:6" ht="14.25" customHeight="1">
      <c r="A726" s="143"/>
      <c r="B726" s="144"/>
      <c r="C726" s="144"/>
      <c r="D726" s="144"/>
      <c r="E726" s="145"/>
      <c r="F726" s="144"/>
    </row>
    <row r="727" spans="1:6" ht="14.25" customHeight="1">
      <c r="A727" s="143"/>
      <c r="B727" s="144"/>
      <c r="C727" s="144"/>
      <c r="D727" s="144"/>
      <c r="E727" s="145"/>
      <c r="F727" s="144"/>
    </row>
    <row r="728" spans="1:6" ht="14.25" customHeight="1">
      <c r="A728" s="143"/>
      <c r="B728" s="144"/>
      <c r="C728" s="144"/>
      <c r="D728" s="144"/>
      <c r="E728" s="145"/>
      <c r="F728" s="144"/>
    </row>
    <row r="729" spans="1:6" ht="14.25" customHeight="1">
      <c r="A729" s="143"/>
      <c r="B729" s="144"/>
      <c r="C729" s="144"/>
      <c r="D729" s="144"/>
      <c r="E729" s="145"/>
      <c r="F729" s="144"/>
    </row>
    <row r="730" spans="1:6" ht="14.25" customHeight="1">
      <c r="A730" s="143"/>
      <c r="B730" s="144"/>
      <c r="C730" s="144"/>
      <c r="D730" s="144"/>
      <c r="E730" s="145"/>
      <c r="F730" s="144"/>
    </row>
    <row r="731" spans="1:6" ht="14.25" customHeight="1">
      <c r="A731" s="143"/>
      <c r="B731" s="144"/>
      <c r="C731" s="144"/>
      <c r="D731" s="144"/>
      <c r="E731" s="145"/>
      <c r="F731" s="144"/>
    </row>
    <row r="732" spans="1:6" ht="14.25" customHeight="1">
      <c r="A732" s="143"/>
      <c r="B732" s="144"/>
      <c r="C732" s="144"/>
      <c r="D732" s="144"/>
      <c r="E732" s="145"/>
      <c r="F732" s="144"/>
    </row>
    <row r="733" spans="1:6" ht="14.25" customHeight="1">
      <c r="A733" s="143"/>
      <c r="B733" s="144"/>
      <c r="C733" s="144"/>
      <c r="D733" s="144"/>
      <c r="E733" s="145"/>
      <c r="F733" s="144"/>
    </row>
    <row r="734" spans="1:6" ht="14.25" customHeight="1">
      <c r="A734" s="143"/>
      <c r="B734" s="144"/>
      <c r="C734" s="144"/>
      <c r="D734" s="144"/>
      <c r="E734" s="145"/>
      <c r="F734" s="144"/>
    </row>
    <row r="735" spans="1:6" ht="14.25" customHeight="1">
      <c r="A735" s="143"/>
      <c r="B735" s="144"/>
      <c r="C735" s="144"/>
      <c r="D735" s="144"/>
      <c r="E735" s="145"/>
      <c r="F735" s="144"/>
    </row>
    <row r="736" spans="1:6" ht="14.25" customHeight="1">
      <c r="A736" s="143"/>
      <c r="B736" s="144"/>
      <c r="C736" s="144"/>
      <c r="D736" s="144"/>
      <c r="E736" s="145"/>
      <c r="F736" s="144"/>
    </row>
    <row r="737" spans="1:6" ht="14.25" customHeight="1">
      <c r="A737" s="143"/>
      <c r="B737" s="144"/>
      <c r="C737" s="144"/>
      <c r="D737" s="144"/>
      <c r="E737" s="145"/>
      <c r="F737" s="144"/>
    </row>
    <row r="738" spans="1:6" ht="14.25" customHeight="1">
      <c r="A738" s="143"/>
      <c r="B738" s="144"/>
      <c r="C738" s="144"/>
      <c r="D738" s="144"/>
      <c r="E738" s="145"/>
      <c r="F738" s="144"/>
    </row>
    <row r="739" spans="1:6" ht="14.25" customHeight="1">
      <c r="A739" s="143"/>
      <c r="B739" s="144"/>
      <c r="C739" s="144"/>
      <c r="D739" s="144"/>
      <c r="E739" s="145"/>
      <c r="F739" s="144"/>
    </row>
    <row r="740" spans="1:6" ht="14.25" customHeight="1">
      <c r="A740" s="143"/>
      <c r="B740" s="144"/>
      <c r="C740" s="144"/>
      <c r="D740" s="144"/>
      <c r="E740" s="145"/>
      <c r="F740" s="144"/>
    </row>
    <row r="741" spans="1:6" ht="14.25" customHeight="1">
      <c r="A741" s="143"/>
      <c r="B741" s="144"/>
      <c r="C741" s="144"/>
      <c r="D741" s="144"/>
      <c r="E741" s="145"/>
      <c r="F741" s="144"/>
    </row>
    <row r="742" spans="1:6" ht="14.25" customHeight="1">
      <c r="A742" s="143"/>
      <c r="B742" s="144"/>
      <c r="C742" s="144"/>
      <c r="D742" s="144"/>
      <c r="E742" s="145"/>
      <c r="F742" s="144"/>
    </row>
    <row r="743" spans="1:6" ht="14.25" customHeight="1">
      <c r="A743" s="143"/>
      <c r="B743" s="144"/>
      <c r="C743" s="144"/>
      <c r="D743" s="144"/>
      <c r="E743" s="145"/>
      <c r="F743" s="144"/>
    </row>
    <row r="744" spans="1:6" ht="14.25" customHeight="1">
      <c r="A744" s="143"/>
      <c r="B744" s="144"/>
      <c r="C744" s="144"/>
      <c r="D744" s="144"/>
      <c r="E744" s="145"/>
      <c r="F744" s="144"/>
    </row>
    <row r="745" spans="1:6" ht="14.25" customHeight="1">
      <c r="A745" s="143"/>
      <c r="B745" s="144"/>
      <c r="C745" s="144"/>
      <c r="D745" s="144"/>
      <c r="E745" s="145"/>
      <c r="F745" s="144"/>
    </row>
    <row r="746" spans="1:6" ht="14.25" customHeight="1">
      <c r="A746" s="143"/>
      <c r="B746" s="144"/>
      <c r="C746" s="144"/>
      <c r="D746" s="144"/>
      <c r="E746" s="145"/>
      <c r="F746" s="144"/>
    </row>
    <row r="747" spans="1:6" ht="14.25" customHeight="1">
      <c r="A747" s="143"/>
      <c r="B747" s="144"/>
      <c r="C747" s="144"/>
      <c r="D747" s="144"/>
      <c r="E747" s="145"/>
      <c r="F747" s="144"/>
    </row>
    <row r="748" spans="1:6" ht="14.25" customHeight="1">
      <c r="A748" s="143"/>
      <c r="B748" s="144"/>
      <c r="C748" s="144"/>
      <c r="D748" s="144"/>
      <c r="E748" s="145"/>
      <c r="F748" s="144"/>
    </row>
    <row r="749" spans="1:6" ht="14.25" customHeight="1">
      <c r="A749" s="143"/>
      <c r="B749" s="144"/>
      <c r="C749" s="144"/>
      <c r="D749" s="144"/>
      <c r="E749" s="145"/>
      <c r="F749" s="144"/>
    </row>
    <row r="750" spans="1:6" ht="14.25" customHeight="1">
      <c r="A750" s="143"/>
      <c r="B750" s="144"/>
      <c r="C750" s="144"/>
      <c r="D750" s="144"/>
      <c r="E750" s="145"/>
      <c r="F750" s="144"/>
    </row>
    <row r="751" spans="1:6" ht="14.25" customHeight="1">
      <c r="A751" s="143"/>
      <c r="B751" s="144"/>
      <c r="C751" s="144"/>
      <c r="D751" s="144"/>
      <c r="E751" s="145"/>
      <c r="F751" s="144"/>
    </row>
    <row r="752" spans="1:6" ht="14.25" customHeight="1">
      <c r="A752" s="143"/>
      <c r="B752" s="144"/>
      <c r="C752" s="144"/>
      <c r="D752" s="144"/>
      <c r="E752" s="145"/>
      <c r="F752" s="144"/>
    </row>
    <row r="753" spans="1:6" ht="14.25" customHeight="1">
      <c r="A753" s="143"/>
      <c r="B753" s="144"/>
      <c r="C753" s="144"/>
      <c r="D753" s="144"/>
      <c r="E753" s="145"/>
      <c r="F753" s="144"/>
    </row>
    <row r="754" spans="1:6" ht="14.25" customHeight="1">
      <c r="A754" s="143"/>
      <c r="B754" s="144"/>
      <c r="C754" s="144"/>
      <c r="D754" s="144"/>
      <c r="E754" s="145"/>
      <c r="F754" s="144"/>
    </row>
    <row r="755" spans="1:6" ht="14.25" customHeight="1">
      <c r="A755" s="143"/>
      <c r="B755" s="144"/>
      <c r="C755" s="144"/>
      <c r="D755" s="144"/>
      <c r="E755" s="145"/>
      <c r="F755" s="144"/>
    </row>
    <row r="756" spans="1:6" ht="14.25" customHeight="1">
      <c r="A756" s="143"/>
      <c r="B756" s="144"/>
      <c r="C756" s="144"/>
      <c r="D756" s="144"/>
      <c r="E756" s="145"/>
      <c r="F756" s="144"/>
    </row>
    <row r="757" spans="1:6" ht="14.25" customHeight="1">
      <c r="A757" s="143"/>
      <c r="B757" s="144"/>
      <c r="C757" s="144"/>
      <c r="D757" s="144"/>
      <c r="E757" s="145"/>
      <c r="F757" s="144"/>
    </row>
    <row r="758" spans="1:6" ht="14.25" customHeight="1">
      <c r="A758" s="143"/>
      <c r="B758" s="144"/>
      <c r="C758" s="144"/>
      <c r="D758" s="144"/>
      <c r="E758" s="145"/>
      <c r="F758" s="144"/>
    </row>
    <row r="759" spans="1:6" ht="14.25" customHeight="1">
      <c r="A759" s="143"/>
      <c r="B759" s="144"/>
      <c r="C759" s="144"/>
      <c r="D759" s="144"/>
      <c r="E759" s="145"/>
      <c r="F759" s="144"/>
    </row>
    <row r="760" spans="1:6" ht="14.25" customHeight="1">
      <c r="A760" s="143"/>
      <c r="B760" s="144"/>
      <c r="C760" s="144"/>
      <c r="D760" s="144"/>
      <c r="E760" s="145"/>
      <c r="F760" s="144"/>
    </row>
    <row r="761" spans="1:6" ht="14.25" customHeight="1">
      <c r="A761" s="143"/>
      <c r="B761" s="144"/>
      <c r="C761" s="144"/>
      <c r="D761" s="144"/>
      <c r="E761" s="145"/>
      <c r="F761" s="144"/>
    </row>
    <row r="762" spans="1:6" ht="14.25" customHeight="1">
      <c r="A762" s="143"/>
      <c r="B762" s="144"/>
      <c r="C762" s="144"/>
      <c r="D762" s="144"/>
      <c r="E762" s="145"/>
      <c r="F762" s="144"/>
    </row>
    <row r="763" spans="1:6" ht="14.25" customHeight="1">
      <c r="A763" s="143"/>
      <c r="B763" s="144"/>
      <c r="C763" s="144"/>
      <c r="D763" s="144"/>
      <c r="E763" s="145"/>
      <c r="F763" s="144"/>
    </row>
    <row r="764" spans="1:6" ht="14.25" customHeight="1">
      <c r="A764" s="143"/>
      <c r="B764" s="144"/>
      <c r="C764" s="144"/>
      <c r="D764" s="144"/>
      <c r="E764" s="145"/>
      <c r="F764" s="144"/>
    </row>
    <row r="765" spans="1:6" ht="14.25" customHeight="1">
      <c r="A765" s="143"/>
      <c r="B765" s="144"/>
      <c r="C765" s="144"/>
      <c r="D765" s="144"/>
      <c r="E765" s="145"/>
      <c r="F765" s="144"/>
    </row>
    <row r="766" spans="1:6" ht="14.25" customHeight="1">
      <c r="A766" s="143"/>
      <c r="B766" s="144"/>
      <c r="C766" s="144"/>
      <c r="D766" s="144"/>
      <c r="E766" s="145"/>
      <c r="F766" s="144"/>
    </row>
    <row r="767" spans="1:6" ht="14.25" customHeight="1">
      <c r="A767" s="143"/>
      <c r="B767" s="144"/>
      <c r="C767" s="144"/>
      <c r="D767" s="144"/>
      <c r="E767" s="145"/>
      <c r="F767" s="144"/>
    </row>
    <row r="768" spans="1:6" ht="14.25" customHeight="1">
      <c r="A768" s="143"/>
      <c r="B768" s="144"/>
      <c r="C768" s="144"/>
      <c r="D768" s="144"/>
      <c r="E768" s="145"/>
      <c r="F768" s="144"/>
    </row>
    <row r="769" spans="1:6" ht="14.25" customHeight="1">
      <c r="A769" s="143"/>
      <c r="B769" s="144"/>
      <c r="C769" s="144"/>
      <c r="D769" s="144"/>
      <c r="E769" s="145"/>
      <c r="F769" s="144"/>
    </row>
    <row r="770" spans="1:6" ht="14.25" customHeight="1">
      <c r="A770" s="143"/>
      <c r="B770" s="144"/>
      <c r="C770" s="144"/>
      <c r="D770" s="144"/>
      <c r="E770" s="145"/>
      <c r="F770" s="144"/>
    </row>
    <row r="771" spans="1:6" ht="14.25" customHeight="1">
      <c r="A771" s="143"/>
      <c r="B771" s="144"/>
      <c r="C771" s="144"/>
      <c r="D771" s="144"/>
      <c r="E771" s="145"/>
      <c r="F771" s="144"/>
    </row>
    <row r="772" spans="1:6" ht="14.25" customHeight="1">
      <c r="A772" s="143"/>
      <c r="B772" s="144"/>
      <c r="C772" s="144"/>
      <c r="D772" s="144"/>
      <c r="E772" s="145"/>
      <c r="F772" s="144"/>
    </row>
    <row r="773" spans="1:6" ht="14.25" customHeight="1">
      <c r="A773" s="143"/>
      <c r="B773" s="144"/>
      <c r="C773" s="144"/>
      <c r="D773" s="144"/>
      <c r="E773" s="145"/>
      <c r="F773" s="144"/>
    </row>
    <row r="774" spans="1:6" ht="14.25" customHeight="1">
      <c r="A774" s="143"/>
      <c r="B774" s="144"/>
      <c r="C774" s="144"/>
      <c r="D774" s="144"/>
      <c r="E774" s="145"/>
      <c r="F774" s="144"/>
    </row>
    <row r="775" spans="1:6" ht="14.25" customHeight="1">
      <c r="A775" s="143"/>
      <c r="B775" s="144"/>
      <c r="C775" s="144"/>
      <c r="D775" s="144"/>
      <c r="E775" s="145"/>
      <c r="F775" s="144"/>
    </row>
    <row r="776" spans="1:6" ht="14.25" customHeight="1">
      <c r="A776" s="143"/>
      <c r="B776" s="144"/>
      <c r="C776" s="144"/>
      <c r="D776" s="144"/>
      <c r="E776" s="145"/>
      <c r="F776" s="144"/>
    </row>
    <row r="777" spans="1:6" ht="14.25" customHeight="1">
      <c r="A777" s="143"/>
      <c r="B777" s="144"/>
      <c r="C777" s="144"/>
      <c r="D777" s="144"/>
      <c r="E777" s="145"/>
      <c r="F777" s="144"/>
    </row>
    <row r="778" spans="1:6" ht="14.25" customHeight="1">
      <c r="A778" s="143"/>
      <c r="B778" s="144"/>
      <c r="C778" s="144"/>
      <c r="D778" s="144"/>
      <c r="E778" s="145"/>
      <c r="F778" s="144"/>
    </row>
    <row r="779" spans="1:6" ht="14.25" customHeight="1">
      <c r="A779" s="143"/>
      <c r="B779" s="144"/>
      <c r="C779" s="144"/>
      <c r="D779" s="144"/>
      <c r="E779" s="145"/>
      <c r="F779" s="144"/>
    </row>
    <row r="780" spans="1:6" ht="14.25" customHeight="1">
      <c r="A780" s="143"/>
      <c r="B780" s="144"/>
      <c r="C780" s="144"/>
      <c r="D780" s="144"/>
      <c r="E780" s="145"/>
      <c r="F780" s="144"/>
    </row>
    <row r="781" spans="1:6" ht="14.25" customHeight="1">
      <c r="A781" s="143"/>
      <c r="B781" s="144"/>
      <c r="C781" s="144"/>
      <c r="D781" s="144"/>
      <c r="E781" s="145"/>
      <c r="F781" s="144"/>
    </row>
    <row r="782" spans="1:6" ht="14.25" customHeight="1">
      <c r="A782" s="143"/>
      <c r="B782" s="144"/>
      <c r="C782" s="144"/>
      <c r="D782" s="144"/>
      <c r="E782" s="145"/>
      <c r="F782" s="144"/>
    </row>
    <row r="783" spans="1:6" ht="14.25" customHeight="1">
      <c r="A783" s="143"/>
      <c r="B783" s="144"/>
      <c r="C783" s="144"/>
      <c r="D783" s="144"/>
      <c r="E783" s="145"/>
      <c r="F783" s="144"/>
    </row>
    <row r="784" spans="1:6" ht="14.25" customHeight="1">
      <c r="A784" s="143"/>
      <c r="B784" s="144"/>
      <c r="C784" s="144"/>
      <c r="D784" s="144"/>
      <c r="E784" s="145"/>
      <c r="F784" s="144"/>
    </row>
    <row r="785" spans="1:6" ht="14.25" customHeight="1">
      <c r="A785" s="143"/>
      <c r="B785" s="144"/>
      <c r="C785" s="144"/>
      <c r="D785" s="144"/>
      <c r="E785" s="145"/>
      <c r="F785" s="144"/>
    </row>
    <row r="786" spans="1:6" ht="14.25" customHeight="1">
      <c r="A786" s="143"/>
      <c r="B786" s="144"/>
      <c r="C786" s="144"/>
      <c r="D786" s="144"/>
      <c r="E786" s="145"/>
      <c r="F786" s="144"/>
    </row>
    <row r="787" spans="1:6" ht="14.25" customHeight="1">
      <c r="A787" s="143"/>
      <c r="B787" s="144"/>
      <c r="C787" s="144"/>
      <c r="D787" s="144"/>
      <c r="E787" s="145"/>
      <c r="F787" s="144"/>
    </row>
    <row r="788" spans="1:6" ht="14.25" customHeight="1">
      <c r="A788" s="143"/>
      <c r="B788" s="144"/>
      <c r="C788" s="144"/>
      <c r="D788" s="144"/>
      <c r="E788" s="145"/>
      <c r="F788" s="144"/>
    </row>
    <row r="789" spans="1:6" ht="14.25" customHeight="1">
      <c r="A789" s="143"/>
      <c r="B789" s="144"/>
      <c r="C789" s="144"/>
      <c r="D789" s="144"/>
      <c r="E789" s="145"/>
      <c r="F789" s="144"/>
    </row>
    <row r="790" spans="1:6" ht="14.25" customHeight="1">
      <c r="A790" s="143"/>
      <c r="B790" s="144"/>
      <c r="C790" s="144"/>
      <c r="D790" s="144"/>
      <c r="E790" s="145"/>
      <c r="F790" s="144"/>
    </row>
    <row r="791" spans="1:6" ht="14.25" customHeight="1">
      <c r="A791" s="143"/>
      <c r="B791" s="144"/>
      <c r="C791" s="144"/>
      <c r="D791" s="144"/>
      <c r="E791" s="145"/>
      <c r="F791" s="144"/>
    </row>
    <row r="792" spans="1:6" ht="14.25" customHeight="1">
      <c r="A792" s="143"/>
      <c r="B792" s="144"/>
      <c r="C792" s="144"/>
      <c r="D792" s="144"/>
      <c r="E792" s="145"/>
      <c r="F792" s="144"/>
    </row>
    <row r="793" spans="1:6" ht="14.25" customHeight="1">
      <c r="A793" s="143"/>
      <c r="B793" s="144"/>
      <c r="C793" s="144"/>
      <c r="D793" s="144"/>
      <c r="E793" s="145"/>
      <c r="F793" s="144"/>
    </row>
    <row r="794" spans="1:6" ht="14.25" customHeight="1">
      <c r="A794" s="143"/>
      <c r="B794" s="144"/>
      <c r="C794" s="144"/>
      <c r="D794" s="144"/>
      <c r="E794" s="145"/>
      <c r="F794" s="144"/>
    </row>
    <row r="795" spans="1:6" ht="14.25" customHeight="1">
      <c r="A795" s="143"/>
      <c r="B795" s="144"/>
      <c r="C795" s="144"/>
      <c r="D795" s="144"/>
      <c r="E795" s="145"/>
      <c r="F795" s="144"/>
    </row>
    <row r="796" spans="1:6" ht="14.25" customHeight="1">
      <c r="A796" s="143"/>
      <c r="B796" s="144"/>
      <c r="C796" s="144"/>
      <c r="D796" s="144"/>
      <c r="E796" s="145"/>
      <c r="F796" s="144"/>
    </row>
    <row r="797" spans="1:6" ht="14.25" customHeight="1">
      <c r="A797" s="143"/>
      <c r="B797" s="144"/>
      <c r="C797" s="144"/>
      <c r="D797" s="144"/>
      <c r="E797" s="145"/>
      <c r="F797" s="144"/>
    </row>
    <row r="798" spans="1:6" ht="14.25" customHeight="1">
      <c r="A798" s="143"/>
      <c r="B798" s="144"/>
      <c r="C798" s="144"/>
      <c r="D798" s="144"/>
      <c r="E798" s="145"/>
      <c r="F798" s="144"/>
    </row>
    <row r="799" spans="1:6" ht="14.25" customHeight="1">
      <c r="A799" s="143"/>
      <c r="B799" s="144"/>
      <c r="C799" s="144"/>
      <c r="D799" s="144"/>
      <c r="E799" s="145"/>
      <c r="F799" s="144"/>
    </row>
    <row r="800" spans="1:6" ht="14.25" customHeight="1">
      <c r="A800" s="143"/>
      <c r="B800" s="144"/>
      <c r="C800" s="144"/>
      <c r="D800" s="144"/>
      <c r="E800" s="145"/>
      <c r="F800" s="144"/>
    </row>
    <row r="801" spans="1:6" ht="14.25" customHeight="1">
      <c r="A801" s="143"/>
      <c r="B801" s="144"/>
      <c r="C801" s="144"/>
      <c r="D801" s="144"/>
      <c r="E801" s="145"/>
      <c r="F801" s="144"/>
    </row>
    <row r="802" spans="1:6" ht="14.25" customHeight="1">
      <c r="A802" s="143"/>
      <c r="B802" s="144"/>
      <c r="C802" s="144"/>
      <c r="D802" s="144"/>
      <c r="E802" s="145"/>
      <c r="F802" s="144"/>
    </row>
    <row r="803" spans="1:6" ht="14.25" customHeight="1">
      <c r="A803" s="143"/>
      <c r="B803" s="144"/>
      <c r="C803" s="144"/>
      <c r="D803" s="144"/>
      <c r="E803" s="145"/>
      <c r="F803" s="144"/>
    </row>
    <row r="804" spans="1:6" ht="14.25" customHeight="1">
      <c r="A804" s="143"/>
      <c r="B804" s="144"/>
      <c r="C804" s="144"/>
      <c r="D804" s="144"/>
      <c r="E804" s="145"/>
      <c r="F804" s="144"/>
    </row>
    <row r="805" spans="1:6" ht="14.25" customHeight="1">
      <c r="A805" s="143"/>
      <c r="B805" s="144"/>
      <c r="C805" s="144"/>
      <c r="D805" s="144"/>
      <c r="E805" s="145"/>
      <c r="F805" s="144"/>
    </row>
    <row r="806" spans="1:6" ht="14.25" customHeight="1">
      <c r="A806" s="143"/>
      <c r="B806" s="144"/>
      <c r="C806" s="144"/>
      <c r="D806" s="144"/>
      <c r="E806" s="145"/>
      <c r="F806" s="144"/>
    </row>
    <row r="807" spans="1:6" ht="14.25" customHeight="1">
      <c r="A807" s="143"/>
      <c r="B807" s="144"/>
      <c r="C807" s="144"/>
      <c r="D807" s="144"/>
      <c r="E807" s="145"/>
      <c r="F807" s="144"/>
    </row>
    <row r="808" spans="1:6" ht="14.25" customHeight="1">
      <c r="A808" s="143"/>
      <c r="B808" s="144"/>
      <c r="C808" s="144"/>
      <c r="D808" s="144"/>
      <c r="E808" s="145"/>
      <c r="F808" s="144"/>
    </row>
    <row r="809" spans="1:6" ht="14.25" customHeight="1">
      <c r="A809" s="143"/>
      <c r="B809" s="144"/>
      <c r="C809" s="144"/>
      <c r="D809" s="144"/>
      <c r="E809" s="145"/>
      <c r="F809" s="144"/>
    </row>
    <row r="810" spans="1:6" ht="14.25" customHeight="1">
      <c r="A810" s="143"/>
      <c r="B810" s="144"/>
      <c r="C810" s="144"/>
      <c r="D810" s="144"/>
      <c r="E810" s="145"/>
      <c r="F810" s="144"/>
    </row>
    <row r="811" spans="1:6" ht="14.25" customHeight="1">
      <c r="A811" s="143"/>
      <c r="B811" s="144"/>
      <c r="C811" s="144"/>
      <c r="D811" s="144"/>
      <c r="E811" s="145"/>
      <c r="F811" s="144"/>
    </row>
    <row r="812" spans="1:6" ht="14.25" customHeight="1">
      <c r="A812" s="143"/>
      <c r="B812" s="144"/>
      <c r="C812" s="144"/>
      <c r="D812" s="144"/>
      <c r="E812" s="145"/>
      <c r="F812" s="144"/>
    </row>
    <row r="813" spans="1:6" ht="14.25" customHeight="1">
      <c r="A813" s="143"/>
      <c r="B813" s="144"/>
      <c r="C813" s="144"/>
      <c r="D813" s="144"/>
      <c r="E813" s="145"/>
      <c r="F813" s="144"/>
    </row>
    <row r="814" spans="1:6" ht="14.25" customHeight="1">
      <c r="A814" s="143"/>
      <c r="B814" s="144"/>
      <c r="C814" s="144"/>
      <c r="D814" s="144"/>
      <c r="E814" s="145"/>
      <c r="F814" s="144"/>
    </row>
    <row r="815" spans="1:6" ht="14.25" customHeight="1">
      <c r="A815" s="143"/>
      <c r="B815" s="144"/>
      <c r="C815" s="144"/>
      <c r="D815" s="144"/>
      <c r="E815" s="145"/>
      <c r="F815" s="144"/>
    </row>
    <row r="816" spans="1:6" ht="14.25" customHeight="1">
      <c r="A816" s="143"/>
      <c r="B816" s="144"/>
      <c r="C816" s="144"/>
      <c r="D816" s="144"/>
      <c r="E816" s="145"/>
      <c r="F816" s="144"/>
    </row>
    <row r="817" spans="1:6" ht="14.25" customHeight="1">
      <c r="A817" s="143"/>
      <c r="B817" s="144"/>
      <c r="C817" s="144"/>
      <c r="D817" s="144"/>
      <c r="E817" s="145"/>
      <c r="F817" s="144"/>
    </row>
    <row r="818" spans="1:6" ht="14.25" customHeight="1">
      <c r="A818" s="143"/>
      <c r="B818" s="144"/>
      <c r="C818" s="144"/>
      <c r="D818" s="144"/>
      <c r="E818" s="145"/>
      <c r="F818" s="144"/>
    </row>
    <row r="819" spans="1:6" ht="14.25" customHeight="1">
      <c r="A819" s="143"/>
      <c r="B819" s="144"/>
      <c r="C819" s="144"/>
      <c r="D819" s="144"/>
      <c r="E819" s="145"/>
      <c r="F819" s="144"/>
    </row>
    <row r="820" spans="1:6" ht="14.25" customHeight="1">
      <c r="A820" s="143"/>
      <c r="B820" s="144"/>
      <c r="C820" s="144"/>
      <c r="D820" s="144"/>
      <c r="E820" s="145"/>
      <c r="F820" s="144"/>
    </row>
    <row r="821" spans="1:6" ht="14.25" customHeight="1">
      <c r="A821" s="143"/>
      <c r="B821" s="144"/>
      <c r="C821" s="144"/>
      <c r="D821" s="144"/>
      <c r="E821" s="145"/>
      <c r="F821" s="144"/>
    </row>
    <row r="822" spans="1:6" ht="14.25" customHeight="1">
      <c r="A822" s="143"/>
      <c r="B822" s="144"/>
      <c r="C822" s="144"/>
      <c r="D822" s="144"/>
      <c r="E822" s="145"/>
      <c r="F822" s="144"/>
    </row>
    <row r="823" spans="1:6" ht="14.25" customHeight="1">
      <c r="A823" s="143"/>
      <c r="B823" s="144"/>
      <c r="C823" s="144"/>
      <c r="D823" s="144"/>
      <c r="E823" s="145"/>
      <c r="F823" s="144"/>
    </row>
    <row r="824" spans="1:6" ht="14.25" customHeight="1">
      <c r="A824" s="143"/>
      <c r="B824" s="144"/>
      <c r="C824" s="144"/>
      <c r="D824" s="144"/>
      <c r="E824" s="145"/>
      <c r="F824" s="144"/>
    </row>
    <row r="825" spans="1:6" ht="14.25" customHeight="1">
      <c r="A825" s="143"/>
      <c r="B825" s="144"/>
      <c r="C825" s="144"/>
      <c r="D825" s="144"/>
      <c r="E825" s="145"/>
      <c r="F825" s="144"/>
    </row>
    <row r="826" spans="1:6" ht="14.25" customHeight="1">
      <c r="A826" s="143"/>
      <c r="B826" s="144"/>
      <c r="C826" s="144"/>
      <c r="D826" s="144"/>
      <c r="E826" s="145"/>
      <c r="F826" s="144"/>
    </row>
    <row r="827" spans="1:6" ht="14.25" customHeight="1">
      <c r="A827" s="143"/>
      <c r="B827" s="144"/>
      <c r="C827" s="144"/>
      <c r="D827" s="144"/>
      <c r="E827" s="145"/>
      <c r="F827" s="144"/>
    </row>
    <row r="828" spans="1:6" ht="14.25" customHeight="1">
      <c r="A828" s="143"/>
      <c r="B828" s="144"/>
      <c r="C828" s="144"/>
      <c r="D828" s="144"/>
      <c r="E828" s="145"/>
      <c r="F828" s="144"/>
    </row>
    <row r="829" spans="1:6" ht="14.25" customHeight="1">
      <c r="A829" s="143"/>
      <c r="B829" s="144"/>
      <c r="C829" s="144"/>
      <c r="D829" s="144"/>
      <c r="E829" s="145"/>
      <c r="F829" s="144"/>
    </row>
    <row r="830" spans="1:6" ht="14.25" customHeight="1">
      <c r="A830" s="143"/>
      <c r="B830" s="144"/>
      <c r="C830" s="144"/>
      <c r="D830" s="144"/>
      <c r="E830" s="145"/>
      <c r="F830" s="144"/>
    </row>
    <row r="831" spans="1:6" ht="14.25" customHeight="1">
      <c r="A831" s="143"/>
      <c r="B831" s="144"/>
      <c r="C831" s="144"/>
      <c r="D831" s="144"/>
      <c r="E831" s="145"/>
      <c r="F831" s="144"/>
    </row>
    <row r="832" spans="1:6" ht="14.25" customHeight="1">
      <c r="A832" s="143"/>
      <c r="B832" s="144"/>
      <c r="C832" s="144"/>
      <c r="D832" s="144"/>
      <c r="E832" s="145"/>
      <c r="F832" s="144"/>
    </row>
    <row r="833" spans="1:6" ht="14.25" customHeight="1">
      <c r="A833" s="143"/>
      <c r="B833" s="144"/>
      <c r="C833" s="144"/>
      <c r="D833" s="144"/>
      <c r="E833" s="145"/>
      <c r="F833" s="144"/>
    </row>
    <row r="834" spans="1:6" ht="14.25" customHeight="1">
      <c r="A834" s="143"/>
      <c r="B834" s="144"/>
      <c r="C834" s="144"/>
      <c r="D834" s="144"/>
      <c r="E834" s="145"/>
      <c r="F834" s="144"/>
    </row>
    <row r="835" spans="1:6" ht="14.25" customHeight="1">
      <c r="A835" s="143"/>
      <c r="B835" s="144"/>
      <c r="C835" s="144"/>
      <c r="D835" s="144"/>
      <c r="E835" s="145"/>
      <c r="F835" s="144"/>
    </row>
    <row r="836" spans="1:6" ht="14.25" customHeight="1">
      <c r="A836" s="143"/>
      <c r="B836" s="144"/>
      <c r="C836" s="144"/>
      <c r="D836" s="144"/>
      <c r="E836" s="145"/>
      <c r="F836" s="144"/>
    </row>
    <row r="837" spans="1:6" ht="14.25" customHeight="1">
      <c r="A837" s="143"/>
      <c r="B837" s="144"/>
      <c r="C837" s="144"/>
      <c r="D837" s="144"/>
      <c r="E837" s="145"/>
      <c r="F837" s="144"/>
    </row>
    <row r="838" spans="1:6" ht="14.25" customHeight="1">
      <c r="A838" s="143"/>
      <c r="B838" s="144"/>
      <c r="C838" s="144"/>
      <c r="D838" s="144"/>
      <c r="E838" s="145"/>
      <c r="F838" s="144"/>
    </row>
    <row r="839" spans="1:6" ht="14.25" customHeight="1">
      <c r="A839" s="143"/>
      <c r="B839" s="144"/>
      <c r="C839" s="144"/>
      <c r="D839" s="144"/>
      <c r="E839" s="145"/>
      <c r="F839" s="144"/>
    </row>
    <row r="840" spans="1:6" ht="14.25" customHeight="1">
      <c r="A840" s="143"/>
      <c r="B840" s="144"/>
      <c r="C840" s="144"/>
      <c r="D840" s="144"/>
      <c r="E840" s="145"/>
      <c r="F840" s="144"/>
    </row>
    <row r="841" spans="1:6" ht="14.25" customHeight="1">
      <c r="A841" s="143"/>
      <c r="B841" s="144"/>
      <c r="C841" s="144"/>
      <c r="D841" s="144"/>
      <c r="E841" s="145"/>
      <c r="F841" s="144"/>
    </row>
    <row r="842" spans="1:6" ht="14.25" customHeight="1">
      <c r="A842" s="143"/>
      <c r="B842" s="144"/>
      <c r="C842" s="144"/>
      <c r="D842" s="144"/>
      <c r="E842" s="145"/>
      <c r="F842" s="144"/>
    </row>
    <row r="843" spans="1:6" ht="14.25" customHeight="1">
      <c r="A843" s="143"/>
      <c r="B843" s="144"/>
      <c r="C843" s="144"/>
      <c r="D843" s="144"/>
      <c r="E843" s="145"/>
      <c r="F843" s="144"/>
    </row>
    <row r="844" spans="1:6" ht="14.25" customHeight="1">
      <c r="A844" s="143"/>
      <c r="B844" s="144"/>
      <c r="C844" s="144"/>
      <c r="D844" s="144"/>
      <c r="E844" s="145"/>
      <c r="F844" s="144"/>
    </row>
    <row r="845" spans="1:6" ht="14.25" customHeight="1">
      <c r="A845" s="143"/>
      <c r="B845" s="144"/>
      <c r="C845" s="144"/>
      <c r="D845" s="144"/>
      <c r="E845" s="145"/>
      <c r="F845" s="144"/>
    </row>
    <row r="846" spans="1:6" ht="14.25" customHeight="1">
      <c r="A846" s="143"/>
      <c r="B846" s="144"/>
      <c r="C846" s="144"/>
      <c r="D846" s="144"/>
      <c r="E846" s="145"/>
      <c r="F846" s="144"/>
    </row>
    <row r="847" spans="1:6" ht="14.25" customHeight="1">
      <c r="A847" s="143"/>
      <c r="B847" s="144"/>
      <c r="C847" s="144"/>
      <c r="D847" s="144"/>
      <c r="E847" s="145"/>
      <c r="F847" s="144"/>
    </row>
    <row r="848" spans="1:6" ht="14.25" customHeight="1">
      <c r="A848" s="143"/>
      <c r="B848" s="144"/>
      <c r="C848" s="144"/>
      <c r="D848" s="144"/>
      <c r="E848" s="145"/>
      <c r="F848" s="144"/>
    </row>
    <row r="849" spans="1:6" ht="14.25" customHeight="1">
      <c r="A849" s="143"/>
      <c r="B849" s="144"/>
      <c r="C849" s="144"/>
      <c r="D849" s="144"/>
      <c r="E849" s="145"/>
      <c r="F849" s="144"/>
    </row>
    <row r="850" spans="1:6" ht="14.25" customHeight="1">
      <c r="A850" s="143"/>
      <c r="B850" s="144"/>
      <c r="C850" s="144"/>
      <c r="D850" s="144"/>
      <c r="E850" s="145"/>
      <c r="F850" s="144"/>
    </row>
    <row r="851" spans="1:6" ht="14.25" customHeight="1">
      <c r="A851" s="143"/>
      <c r="B851" s="144"/>
      <c r="C851" s="144"/>
      <c r="D851" s="144"/>
      <c r="E851" s="145"/>
      <c r="F851" s="144"/>
    </row>
    <row r="852" spans="1:6" ht="14.25" customHeight="1">
      <c r="A852" s="143"/>
      <c r="B852" s="144"/>
      <c r="C852" s="144"/>
      <c r="D852" s="144"/>
      <c r="E852" s="145"/>
      <c r="F852" s="144"/>
    </row>
    <row r="853" spans="1:6" ht="14.25" customHeight="1">
      <c r="A853" s="143"/>
      <c r="B853" s="144"/>
      <c r="C853" s="144"/>
      <c r="D853" s="144"/>
      <c r="E853" s="145"/>
      <c r="F853" s="144"/>
    </row>
    <row r="854" spans="1:6" ht="14.25" customHeight="1">
      <c r="A854" s="143"/>
      <c r="B854" s="144"/>
      <c r="C854" s="144"/>
      <c r="D854" s="144"/>
      <c r="E854" s="145"/>
      <c r="F854" s="144"/>
    </row>
    <row r="855" spans="1:6" ht="14.25" customHeight="1">
      <c r="A855" s="143"/>
      <c r="B855" s="144"/>
      <c r="C855" s="144"/>
      <c r="D855" s="144"/>
      <c r="E855" s="145"/>
      <c r="F855" s="144"/>
    </row>
    <row r="856" spans="1:6" ht="14.25" customHeight="1">
      <c r="A856" s="143"/>
      <c r="B856" s="144"/>
      <c r="C856" s="144"/>
      <c r="D856" s="144"/>
      <c r="E856" s="145"/>
      <c r="F856" s="144"/>
    </row>
    <row r="857" spans="1:6" ht="14.25" customHeight="1">
      <c r="A857" s="143"/>
      <c r="B857" s="144"/>
      <c r="C857" s="144"/>
      <c r="D857" s="144"/>
      <c r="E857" s="145"/>
      <c r="F857" s="144"/>
    </row>
    <row r="858" spans="1:6" ht="14.25" customHeight="1">
      <c r="A858" s="143"/>
      <c r="B858" s="144"/>
      <c r="C858" s="144"/>
      <c r="D858" s="144"/>
      <c r="E858" s="145"/>
      <c r="F858" s="144"/>
    </row>
    <row r="859" spans="1:6" ht="14.25" customHeight="1">
      <c r="A859" s="143"/>
      <c r="B859" s="144"/>
      <c r="C859" s="144"/>
      <c r="D859" s="144"/>
      <c r="E859" s="145"/>
      <c r="F859" s="144"/>
    </row>
    <row r="860" spans="1:6" ht="14.25" customHeight="1">
      <c r="A860" s="143"/>
      <c r="B860" s="144"/>
      <c r="C860" s="144"/>
      <c r="D860" s="144"/>
      <c r="E860" s="145"/>
      <c r="F860" s="144"/>
    </row>
    <row r="861" spans="1:6" ht="14.25" customHeight="1">
      <c r="A861" s="143"/>
      <c r="B861" s="144"/>
      <c r="C861" s="144"/>
      <c r="D861" s="144"/>
      <c r="E861" s="145"/>
      <c r="F861" s="144"/>
    </row>
    <row r="862" spans="1:6" ht="14.25" customHeight="1">
      <c r="A862" s="143"/>
      <c r="B862" s="144"/>
      <c r="C862" s="144"/>
      <c r="D862" s="144"/>
      <c r="E862" s="145"/>
      <c r="F862" s="144"/>
    </row>
    <row r="863" spans="1:6" ht="14.25" customHeight="1">
      <c r="A863" s="143"/>
      <c r="B863" s="144"/>
      <c r="C863" s="144"/>
      <c r="D863" s="144"/>
      <c r="E863" s="145"/>
      <c r="F863" s="144"/>
    </row>
    <row r="864" spans="1:6" ht="14.25" customHeight="1">
      <c r="A864" s="143"/>
      <c r="B864" s="144"/>
      <c r="C864" s="144"/>
      <c r="D864" s="144"/>
      <c r="E864" s="145"/>
      <c r="F864" s="144"/>
    </row>
    <row r="865" spans="1:6" ht="14.25" customHeight="1">
      <c r="A865" s="143"/>
      <c r="B865" s="144"/>
      <c r="C865" s="144"/>
      <c r="D865" s="144"/>
      <c r="E865" s="145"/>
      <c r="F865" s="144"/>
    </row>
    <row r="866" spans="1:6" ht="14.25" customHeight="1">
      <c r="A866" s="143"/>
      <c r="B866" s="144"/>
      <c r="C866" s="144"/>
      <c r="D866" s="144"/>
      <c r="E866" s="145"/>
      <c r="F866" s="144"/>
    </row>
    <row r="867" spans="1:6" ht="14.25" customHeight="1">
      <c r="A867" s="143"/>
      <c r="B867" s="144"/>
      <c r="C867" s="144"/>
      <c r="D867" s="144"/>
      <c r="E867" s="145"/>
      <c r="F867" s="144"/>
    </row>
    <row r="868" spans="1:6" ht="14.25" customHeight="1">
      <c r="A868" s="143"/>
      <c r="B868" s="144"/>
      <c r="C868" s="144"/>
      <c r="D868" s="144"/>
      <c r="E868" s="145"/>
      <c r="F868" s="144"/>
    </row>
    <row r="869" spans="1:6" ht="14.25" customHeight="1">
      <c r="A869" s="143"/>
      <c r="B869" s="144"/>
      <c r="C869" s="144"/>
      <c r="D869" s="144"/>
      <c r="E869" s="145"/>
      <c r="F869" s="144"/>
    </row>
    <row r="870" spans="1:6" ht="14.25" customHeight="1">
      <c r="A870" s="143"/>
      <c r="B870" s="144"/>
      <c r="C870" s="144"/>
      <c r="D870" s="144"/>
      <c r="E870" s="145"/>
      <c r="F870" s="144"/>
    </row>
    <row r="871" spans="1:6" ht="14.25" customHeight="1">
      <c r="A871" s="143"/>
      <c r="B871" s="144"/>
      <c r="C871" s="144"/>
      <c r="D871" s="144"/>
      <c r="E871" s="145"/>
      <c r="F871" s="144"/>
    </row>
    <row r="872" spans="1:6" ht="14.25" customHeight="1">
      <c r="A872" s="143"/>
      <c r="B872" s="144"/>
      <c r="C872" s="144"/>
      <c r="D872" s="144"/>
      <c r="E872" s="145"/>
      <c r="F872" s="144"/>
    </row>
    <row r="873" spans="1:6" ht="14.25" customHeight="1">
      <c r="A873" s="143"/>
      <c r="B873" s="144"/>
      <c r="C873" s="144"/>
      <c r="D873" s="144"/>
      <c r="E873" s="145"/>
      <c r="F873" s="144"/>
    </row>
    <row r="874" spans="1:6" ht="14.25" customHeight="1">
      <c r="A874" s="143"/>
      <c r="B874" s="144"/>
      <c r="C874" s="144"/>
      <c r="D874" s="144"/>
      <c r="E874" s="145"/>
      <c r="F874" s="144"/>
    </row>
    <row r="875" spans="1:6" ht="14.25" customHeight="1">
      <c r="A875" s="143"/>
      <c r="B875" s="144"/>
      <c r="C875" s="144"/>
      <c r="D875" s="144"/>
      <c r="E875" s="145"/>
      <c r="F875" s="144"/>
    </row>
    <row r="876" spans="1:6" ht="14.25" customHeight="1">
      <c r="A876" s="143"/>
      <c r="B876" s="144"/>
      <c r="C876" s="144"/>
      <c r="D876" s="144"/>
      <c r="E876" s="145"/>
      <c r="F876" s="144"/>
    </row>
    <row r="877" spans="1:6" ht="14.25" customHeight="1">
      <c r="A877" s="143"/>
      <c r="B877" s="144"/>
      <c r="C877" s="144"/>
      <c r="D877" s="144"/>
      <c r="E877" s="145"/>
      <c r="F877" s="144"/>
    </row>
    <row r="878" spans="1:6" ht="14.25" customHeight="1">
      <c r="A878" s="143"/>
      <c r="B878" s="144"/>
      <c r="C878" s="144"/>
      <c r="D878" s="144"/>
      <c r="E878" s="145"/>
      <c r="F878" s="144"/>
    </row>
    <row r="879" spans="1:6" ht="14.25" customHeight="1">
      <c r="A879" s="143"/>
      <c r="B879" s="144"/>
      <c r="C879" s="144"/>
      <c r="D879" s="144"/>
      <c r="E879" s="145"/>
      <c r="F879" s="144"/>
    </row>
    <row r="880" spans="1:6" ht="14.25" customHeight="1">
      <c r="A880" s="143"/>
      <c r="B880" s="144"/>
      <c r="C880" s="144"/>
      <c r="D880" s="144"/>
      <c r="E880" s="145"/>
      <c r="F880" s="144"/>
    </row>
    <row r="881" spans="1:6" ht="14.25" customHeight="1">
      <c r="A881" s="143"/>
      <c r="B881" s="144"/>
      <c r="C881" s="144"/>
      <c r="D881" s="144"/>
      <c r="E881" s="145"/>
      <c r="F881" s="144"/>
    </row>
    <row r="882" spans="1:6" ht="14.25" customHeight="1">
      <c r="A882" s="143"/>
      <c r="B882" s="144"/>
      <c r="C882" s="144"/>
      <c r="D882" s="144"/>
      <c r="E882" s="145"/>
      <c r="F882" s="144"/>
    </row>
    <row r="883" spans="1:6" ht="14.25" customHeight="1">
      <c r="A883" s="143"/>
      <c r="B883" s="144"/>
      <c r="C883" s="144"/>
      <c r="D883" s="144"/>
      <c r="E883" s="145"/>
      <c r="F883" s="144"/>
    </row>
    <row r="884" spans="1:6" ht="14.25" customHeight="1">
      <c r="A884" s="143"/>
      <c r="B884" s="144"/>
      <c r="C884" s="144"/>
      <c r="D884" s="144"/>
      <c r="E884" s="145"/>
      <c r="F884" s="144"/>
    </row>
    <row r="885" spans="1:6" ht="14.25" customHeight="1">
      <c r="A885" s="143"/>
      <c r="B885" s="144"/>
      <c r="C885" s="144"/>
      <c r="D885" s="144"/>
      <c r="E885" s="145"/>
      <c r="F885" s="144"/>
    </row>
    <row r="886" spans="1:6" ht="14.25" customHeight="1">
      <c r="A886" s="143"/>
      <c r="B886" s="144"/>
      <c r="C886" s="144"/>
      <c r="D886" s="144"/>
      <c r="E886" s="145"/>
      <c r="F886" s="144"/>
    </row>
    <row r="887" spans="1:6" ht="14.25" customHeight="1">
      <c r="A887" s="143"/>
      <c r="B887" s="144"/>
      <c r="C887" s="144"/>
      <c r="D887" s="144"/>
      <c r="E887" s="145"/>
      <c r="F887" s="144"/>
    </row>
    <row r="888" spans="1:6" ht="14.25" customHeight="1">
      <c r="A888" s="143"/>
      <c r="B888" s="144"/>
      <c r="C888" s="144"/>
      <c r="D888" s="144"/>
      <c r="E888" s="145"/>
      <c r="F888" s="144"/>
    </row>
    <row r="889" spans="1:6" ht="14.25" customHeight="1">
      <c r="A889" s="143"/>
      <c r="B889" s="144"/>
      <c r="C889" s="144"/>
      <c r="D889" s="144"/>
      <c r="E889" s="145"/>
      <c r="F889" s="144"/>
    </row>
    <row r="890" spans="1:6" ht="14.25" customHeight="1">
      <c r="A890" s="143"/>
      <c r="B890" s="144"/>
      <c r="C890" s="144"/>
      <c r="D890" s="144"/>
      <c r="E890" s="145"/>
      <c r="F890" s="144"/>
    </row>
    <row r="891" spans="1:6" ht="14.25" customHeight="1">
      <c r="A891" s="143"/>
      <c r="B891" s="144"/>
      <c r="C891" s="144"/>
      <c r="D891" s="144"/>
      <c r="E891" s="145"/>
      <c r="F891" s="144"/>
    </row>
    <row r="892" spans="1:6" ht="14.25" customHeight="1">
      <c r="A892" s="143"/>
      <c r="B892" s="144"/>
      <c r="C892" s="144"/>
      <c r="D892" s="144"/>
      <c r="E892" s="145"/>
      <c r="F892" s="144"/>
    </row>
    <row r="893" spans="1:6" ht="14.25" customHeight="1">
      <c r="A893" s="143"/>
      <c r="B893" s="144"/>
      <c r="C893" s="144"/>
      <c r="D893" s="144"/>
      <c r="E893" s="145"/>
      <c r="F893" s="144"/>
    </row>
    <row r="894" spans="1:6" ht="14.25" customHeight="1">
      <c r="A894" s="143"/>
      <c r="B894" s="144"/>
      <c r="C894" s="144"/>
      <c r="D894" s="144"/>
      <c r="E894" s="145"/>
      <c r="F894" s="144"/>
    </row>
    <row r="895" spans="1:6" ht="14.25" customHeight="1">
      <c r="A895" s="143"/>
      <c r="B895" s="144"/>
      <c r="C895" s="144"/>
      <c r="D895" s="144"/>
      <c r="E895" s="145"/>
      <c r="F895" s="144"/>
    </row>
    <row r="896" spans="1:6" ht="14.25" customHeight="1">
      <c r="A896" s="143"/>
      <c r="B896" s="144"/>
      <c r="C896" s="144"/>
      <c r="D896" s="144"/>
      <c r="E896" s="145"/>
      <c r="F896" s="144"/>
    </row>
    <row r="897" spans="1:6" ht="14.25" customHeight="1">
      <c r="A897" s="143"/>
      <c r="B897" s="144"/>
      <c r="C897" s="144"/>
      <c r="D897" s="144"/>
      <c r="E897" s="145"/>
      <c r="F897" s="144"/>
    </row>
    <row r="898" spans="1:6" ht="14.25" customHeight="1">
      <c r="A898" s="143"/>
      <c r="B898" s="144"/>
      <c r="C898" s="144"/>
      <c r="D898" s="144"/>
      <c r="E898" s="145"/>
      <c r="F898" s="144"/>
    </row>
    <row r="899" spans="1:6" ht="14.25" customHeight="1">
      <c r="A899" s="143"/>
      <c r="B899" s="144"/>
      <c r="C899" s="144"/>
      <c r="D899" s="144"/>
      <c r="E899" s="145"/>
      <c r="F899" s="144"/>
    </row>
    <row r="900" spans="1:6" ht="14.25" customHeight="1">
      <c r="A900" s="143"/>
      <c r="B900" s="144"/>
      <c r="C900" s="144"/>
      <c r="D900" s="144"/>
      <c r="E900" s="145"/>
      <c r="F900" s="144"/>
    </row>
    <row r="901" spans="1:6" ht="14.25" customHeight="1">
      <c r="A901" s="143"/>
      <c r="B901" s="144"/>
      <c r="C901" s="144"/>
      <c r="D901" s="144"/>
      <c r="E901" s="145"/>
      <c r="F901" s="144"/>
    </row>
    <row r="902" spans="1:6" ht="14.25" customHeight="1">
      <c r="A902" s="143"/>
      <c r="B902" s="144"/>
      <c r="C902" s="144"/>
      <c r="D902" s="144"/>
      <c r="E902" s="145"/>
      <c r="F902" s="144"/>
    </row>
    <row r="903" spans="1:6" ht="14.25" customHeight="1">
      <c r="A903" s="143"/>
      <c r="B903" s="144"/>
      <c r="C903" s="144"/>
      <c r="D903" s="144"/>
      <c r="E903" s="145"/>
      <c r="F903" s="144"/>
    </row>
    <row r="904" spans="1:6" ht="14.25" customHeight="1">
      <c r="A904" s="143"/>
      <c r="B904" s="144"/>
      <c r="C904" s="144"/>
      <c r="D904" s="144"/>
      <c r="E904" s="145"/>
      <c r="F904" s="144"/>
    </row>
    <row r="905" spans="1:6" ht="14.25" customHeight="1">
      <c r="A905" s="143"/>
      <c r="B905" s="144"/>
      <c r="C905" s="144"/>
      <c r="D905" s="144"/>
      <c r="E905" s="145"/>
      <c r="F905" s="144"/>
    </row>
    <row r="906" spans="1:6" ht="14.25" customHeight="1">
      <c r="A906" s="143"/>
      <c r="B906" s="144"/>
      <c r="C906" s="144"/>
      <c r="D906" s="144"/>
      <c r="E906" s="145"/>
      <c r="F906" s="144"/>
    </row>
    <row r="907" spans="1:6" ht="14.25" customHeight="1">
      <c r="A907" s="143"/>
      <c r="B907" s="144"/>
      <c r="C907" s="144"/>
      <c r="D907" s="144"/>
      <c r="E907" s="145"/>
      <c r="F907" s="144"/>
    </row>
    <row r="908" spans="1:6" ht="14.25" customHeight="1">
      <c r="A908" s="143"/>
      <c r="B908" s="144"/>
      <c r="C908" s="144"/>
      <c r="D908" s="144"/>
      <c r="E908" s="145"/>
      <c r="F908" s="144"/>
    </row>
    <row r="909" spans="1:6" ht="14.25" customHeight="1">
      <c r="A909" s="143"/>
      <c r="B909" s="144"/>
      <c r="C909" s="144"/>
      <c r="D909" s="144"/>
      <c r="E909" s="145"/>
      <c r="F909" s="144"/>
    </row>
    <row r="910" spans="1:6" ht="14.25" customHeight="1">
      <c r="A910" s="143"/>
      <c r="B910" s="144"/>
      <c r="C910" s="144"/>
      <c r="D910" s="144"/>
      <c r="E910" s="145"/>
      <c r="F910" s="144"/>
    </row>
    <row r="911" spans="1:6" ht="14.25" customHeight="1">
      <c r="A911" s="143"/>
      <c r="B911" s="144"/>
      <c r="C911" s="144"/>
      <c r="D911" s="144"/>
      <c r="E911" s="145"/>
      <c r="F911" s="144"/>
    </row>
    <row r="912" spans="1:6" ht="14.25" customHeight="1">
      <c r="A912" s="143"/>
      <c r="B912" s="144"/>
      <c r="C912" s="144"/>
      <c r="D912" s="144"/>
      <c r="E912" s="145"/>
      <c r="F912" s="144"/>
    </row>
    <row r="913" spans="1:6" ht="14.25" customHeight="1">
      <c r="A913" s="143"/>
      <c r="B913" s="144"/>
      <c r="C913" s="144"/>
      <c r="D913" s="144"/>
      <c r="E913" s="145"/>
      <c r="F913" s="144"/>
    </row>
    <row r="914" spans="1:6" ht="14.25" customHeight="1">
      <c r="A914" s="143"/>
      <c r="B914" s="144"/>
      <c r="C914" s="144"/>
      <c r="D914" s="144"/>
      <c r="E914" s="145"/>
      <c r="F914" s="144"/>
    </row>
    <row r="915" spans="1:6" ht="14.25" customHeight="1">
      <c r="A915" s="143"/>
      <c r="B915" s="144"/>
      <c r="C915" s="144"/>
      <c r="D915" s="144"/>
      <c r="E915" s="145"/>
      <c r="F915" s="144"/>
    </row>
    <row r="916" spans="1:6" ht="14.25" customHeight="1">
      <c r="A916" s="143"/>
      <c r="B916" s="144"/>
      <c r="C916" s="144"/>
      <c r="D916" s="144"/>
      <c r="E916" s="145"/>
      <c r="F916" s="144"/>
    </row>
    <row r="917" spans="1:6" ht="14.25" customHeight="1">
      <c r="A917" s="143"/>
      <c r="B917" s="144"/>
      <c r="C917" s="144"/>
      <c r="D917" s="144"/>
      <c r="E917" s="145"/>
      <c r="F917" s="144"/>
    </row>
    <row r="918" spans="1:6" ht="14.25" customHeight="1">
      <c r="A918" s="143"/>
      <c r="B918" s="144"/>
      <c r="C918" s="144"/>
      <c r="D918" s="144"/>
      <c r="E918" s="145"/>
      <c r="F918" s="144"/>
    </row>
    <row r="919" spans="1:6" ht="14.25" customHeight="1">
      <c r="A919" s="143"/>
      <c r="B919" s="144"/>
      <c r="C919" s="144"/>
      <c r="D919" s="144"/>
      <c r="E919" s="145"/>
      <c r="F919" s="144"/>
    </row>
    <row r="920" spans="1:6" ht="14.25" customHeight="1">
      <c r="A920" s="143"/>
      <c r="B920" s="144"/>
      <c r="C920" s="144"/>
      <c r="D920" s="144"/>
      <c r="E920" s="145"/>
      <c r="F920" s="144"/>
    </row>
    <row r="921" spans="1:6" ht="14.25" customHeight="1">
      <c r="A921" s="143"/>
      <c r="B921" s="144"/>
      <c r="C921" s="144"/>
      <c r="D921" s="144"/>
      <c r="E921" s="145"/>
      <c r="F921" s="144"/>
    </row>
    <row r="922" spans="1:6" ht="14.25" customHeight="1">
      <c r="A922" s="143"/>
      <c r="B922" s="144"/>
      <c r="C922" s="144"/>
      <c r="D922" s="144"/>
      <c r="E922" s="145"/>
      <c r="F922" s="144"/>
    </row>
    <row r="923" spans="1:6" ht="14.25" customHeight="1">
      <c r="A923" s="143"/>
      <c r="B923" s="144"/>
      <c r="C923" s="144"/>
      <c r="D923" s="144"/>
      <c r="E923" s="145"/>
      <c r="F923" s="144"/>
    </row>
    <row r="924" spans="1:6" ht="14.25" customHeight="1">
      <c r="A924" s="143"/>
      <c r="B924" s="144"/>
      <c r="C924" s="144"/>
      <c r="D924" s="144"/>
      <c r="E924" s="145"/>
      <c r="F924" s="144"/>
    </row>
    <row r="925" spans="1:6" ht="14.25" customHeight="1">
      <c r="A925" s="143"/>
      <c r="B925" s="144"/>
      <c r="C925" s="144"/>
      <c r="D925" s="144"/>
      <c r="E925" s="145"/>
      <c r="F925" s="144"/>
    </row>
    <row r="926" spans="1:6" ht="14.25" customHeight="1">
      <c r="A926" s="143"/>
      <c r="B926" s="144"/>
      <c r="C926" s="144"/>
      <c r="D926" s="144"/>
      <c r="E926" s="145"/>
      <c r="F926" s="144"/>
    </row>
    <row r="927" spans="1:6" ht="14.25" customHeight="1">
      <c r="A927" s="143"/>
      <c r="B927" s="144"/>
      <c r="C927" s="144"/>
      <c r="D927" s="144"/>
      <c r="E927" s="145"/>
      <c r="F927" s="144"/>
    </row>
    <row r="928" spans="1:6" ht="14.25" customHeight="1">
      <c r="A928" s="143"/>
      <c r="B928" s="144"/>
      <c r="C928" s="144"/>
      <c r="D928" s="144"/>
      <c r="E928" s="145"/>
      <c r="F928" s="144"/>
    </row>
    <row r="929" spans="1:6" ht="14.25" customHeight="1">
      <c r="A929" s="143"/>
      <c r="B929" s="144"/>
      <c r="C929" s="144"/>
      <c r="D929" s="144"/>
      <c r="E929" s="145"/>
      <c r="F929" s="144"/>
    </row>
    <row r="930" spans="1:6" ht="14.25" customHeight="1">
      <c r="A930" s="143"/>
      <c r="B930" s="144"/>
      <c r="C930" s="144"/>
      <c r="D930" s="144"/>
      <c r="E930" s="145"/>
      <c r="F930" s="144"/>
    </row>
    <row r="931" spans="1:6" ht="14.25" customHeight="1">
      <c r="A931" s="143"/>
      <c r="B931" s="144"/>
      <c r="C931" s="144"/>
      <c r="D931" s="144"/>
      <c r="E931" s="145"/>
      <c r="F931" s="144"/>
    </row>
    <row r="932" spans="1:6" ht="14.25" customHeight="1">
      <c r="A932" s="143"/>
      <c r="B932" s="144"/>
      <c r="C932" s="144"/>
      <c r="D932" s="144"/>
      <c r="E932" s="145"/>
      <c r="F932" s="144"/>
    </row>
    <row r="933" spans="1:6" ht="14.25" customHeight="1">
      <c r="A933" s="143"/>
      <c r="B933" s="144"/>
      <c r="C933" s="144"/>
      <c r="D933" s="144"/>
      <c r="E933" s="145"/>
      <c r="F933" s="144"/>
    </row>
    <row r="934" spans="1:6" ht="14.25" customHeight="1">
      <c r="A934" s="143"/>
      <c r="B934" s="144"/>
      <c r="C934" s="144"/>
      <c r="D934" s="144"/>
      <c r="E934" s="145"/>
      <c r="F934" s="144"/>
    </row>
    <row r="935" spans="1:6" ht="14.25" customHeight="1">
      <c r="A935" s="143"/>
      <c r="B935" s="144"/>
      <c r="C935" s="144"/>
      <c r="D935" s="144"/>
      <c r="E935" s="145"/>
      <c r="F935" s="144"/>
    </row>
    <row r="936" spans="1:6" ht="14.25" customHeight="1">
      <c r="A936" s="143"/>
      <c r="B936" s="144"/>
      <c r="C936" s="144"/>
      <c r="D936" s="144"/>
      <c r="E936" s="145"/>
      <c r="F936" s="144"/>
    </row>
    <row r="937" spans="1:6" ht="14.25" customHeight="1">
      <c r="A937" s="143"/>
      <c r="B937" s="144"/>
      <c r="C937" s="144"/>
      <c r="D937" s="144"/>
      <c r="E937" s="145"/>
      <c r="F937" s="144"/>
    </row>
    <row r="938" spans="1:6" ht="14.25" customHeight="1">
      <c r="A938" s="143"/>
      <c r="B938" s="144"/>
      <c r="C938" s="144"/>
      <c r="D938" s="144"/>
      <c r="E938" s="145"/>
      <c r="F938" s="144"/>
    </row>
    <row r="939" spans="1:6" ht="14.25" customHeight="1">
      <c r="A939" s="143"/>
      <c r="B939" s="144"/>
      <c r="C939" s="144"/>
      <c r="D939" s="144"/>
      <c r="E939" s="145"/>
      <c r="F939" s="144"/>
    </row>
    <row r="940" spans="1:6" ht="14.25" customHeight="1">
      <c r="A940" s="143"/>
      <c r="B940" s="144"/>
      <c r="C940" s="144"/>
      <c r="D940" s="144"/>
      <c r="E940" s="145"/>
      <c r="F940" s="144"/>
    </row>
    <row r="941" spans="1:6" ht="14.25" customHeight="1">
      <c r="A941" s="143"/>
      <c r="B941" s="144"/>
      <c r="C941" s="144"/>
      <c r="D941" s="144"/>
      <c r="E941" s="145"/>
      <c r="F941" s="144"/>
    </row>
    <row r="942" spans="1:6" ht="14.25" customHeight="1">
      <c r="A942" s="143"/>
      <c r="B942" s="144"/>
      <c r="C942" s="144"/>
      <c r="D942" s="144"/>
      <c r="E942" s="145"/>
      <c r="F942" s="144"/>
    </row>
    <row r="943" spans="1:6" ht="14.25" customHeight="1">
      <c r="A943" s="143"/>
      <c r="B943" s="144"/>
      <c r="C943" s="144"/>
      <c r="D943" s="144"/>
      <c r="E943" s="145"/>
      <c r="F943" s="144"/>
    </row>
    <row r="944" spans="1:6" ht="14.25" customHeight="1">
      <c r="A944" s="143"/>
      <c r="B944" s="144"/>
      <c r="C944" s="144"/>
      <c r="D944" s="144"/>
      <c r="E944" s="145"/>
      <c r="F944" s="144"/>
    </row>
    <row r="945" spans="1:6" ht="14.25" customHeight="1">
      <c r="A945" s="143"/>
      <c r="B945" s="144"/>
      <c r="C945" s="144"/>
      <c r="D945" s="144"/>
      <c r="E945" s="145"/>
      <c r="F945" s="144"/>
    </row>
    <row r="946" spans="1:6" ht="14.25" customHeight="1">
      <c r="A946" s="143"/>
      <c r="B946" s="144"/>
      <c r="C946" s="144"/>
      <c r="D946" s="144"/>
      <c r="E946" s="145"/>
      <c r="F946" s="144"/>
    </row>
    <row r="947" spans="1:6" ht="14.25" customHeight="1">
      <c r="A947" s="143"/>
      <c r="B947" s="144"/>
      <c r="C947" s="144"/>
      <c r="D947" s="144"/>
      <c r="E947" s="145"/>
      <c r="F947" s="144"/>
    </row>
    <row r="948" spans="1:6" ht="14.25" customHeight="1">
      <c r="A948" s="143"/>
      <c r="B948" s="144"/>
      <c r="C948" s="144"/>
      <c r="D948" s="144"/>
      <c r="E948" s="145"/>
      <c r="F948" s="144"/>
    </row>
    <row r="949" spans="1:6" ht="14.25" customHeight="1">
      <c r="A949" s="143"/>
      <c r="B949" s="144"/>
      <c r="C949" s="144"/>
      <c r="D949" s="144"/>
      <c r="E949" s="145"/>
      <c r="F949" s="144"/>
    </row>
    <row r="950" spans="1:6" ht="14.25" customHeight="1">
      <c r="A950" s="143"/>
      <c r="B950" s="144"/>
      <c r="C950" s="144"/>
      <c r="D950" s="144"/>
      <c r="E950" s="145"/>
      <c r="F950" s="144"/>
    </row>
    <row r="951" spans="1:6" ht="14.25" customHeight="1">
      <c r="A951" s="143"/>
      <c r="B951" s="144"/>
      <c r="C951" s="144"/>
      <c r="D951" s="144"/>
      <c r="E951" s="145"/>
      <c r="F951" s="144"/>
    </row>
    <row r="952" spans="1:6" ht="14.25" customHeight="1">
      <c r="A952" s="143"/>
      <c r="B952" s="144"/>
      <c r="C952" s="144"/>
      <c r="D952" s="144"/>
      <c r="E952" s="145"/>
      <c r="F952" s="144"/>
    </row>
    <row r="953" spans="1:6" ht="14.25" customHeight="1">
      <c r="A953" s="143"/>
      <c r="B953" s="144"/>
      <c r="C953" s="144"/>
      <c r="D953" s="144"/>
      <c r="E953" s="145"/>
      <c r="F953" s="144"/>
    </row>
    <row r="954" spans="1:6" ht="14.25" customHeight="1">
      <c r="A954" s="143"/>
      <c r="B954" s="144"/>
      <c r="C954" s="144"/>
      <c r="D954" s="144"/>
      <c r="E954" s="145"/>
      <c r="F954" s="144"/>
    </row>
    <row r="955" spans="1:6" ht="14.25" customHeight="1">
      <c r="A955" s="143"/>
      <c r="B955" s="144"/>
      <c r="C955" s="144"/>
      <c r="D955" s="144"/>
      <c r="E955" s="145"/>
      <c r="F955" s="144"/>
    </row>
    <row r="956" spans="1:6" ht="14.25" customHeight="1">
      <c r="A956" s="143"/>
      <c r="B956" s="144"/>
      <c r="C956" s="144"/>
      <c r="D956" s="144"/>
      <c r="E956" s="145"/>
      <c r="F956" s="144"/>
    </row>
    <row r="957" spans="1:6" ht="14.25" customHeight="1">
      <c r="A957" s="143"/>
      <c r="B957" s="144"/>
      <c r="C957" s="144"/>
      <c r="D957" s="144"/>
      <c r="E957" s="145"/>
      <c r="F957" s="144"/>
    </row>
    <row r="958" spans="1:6" ht="14.25" customHeight="1">
      <c r="A958" s="143"/>
      <c r="B958" s="144"/>
      <c r="C958" s="144"/>
      <c r="D958" s="144"/>
      <c r="E958" s="145"/>
      <c r="F958" s="144"/>
    </row>
    <row r="959" spans="1:6" ht="14.25" customHeight="1">
      <c r="A959" s="143"/>
      <c r="B959" s="144"/>
      <c r="C959" s="144"/>
      <c r="D959" s="144"/>
      <c r="E959" s="145"/>
      <c r="F959" s="144"/>
    </row>
    <row r="960" spans="1:6" ht="14.25" customHeight="1">
      <c r="A960" s="143"/>
      <c r="B960" s="144"/>
      <c r="C960" s="144"/>
      <c r="D960" s="144"/>
      <c r="E960" s="145"/>
      <c r="F960" s="144"/>
    </row>
    <row r="961" spans="1:6" ht="14.25" customHeight="1">
      <c r="A961" s="143"/>
      <c r="B961" s="144"/>
      <c r="C961" s="144"/>
      <c r="D961" s="144"/>
      <c r="E961" s="145"/>
      <c r="F961" s="144"/>
    </row>
    <row r="962" spans="1:6" ht="14.25" customHeight="1">
      <c r="A962" s="143"/>
      <c r="B962" s="144"/>
      <c r="C962" s="144"/>
      <c r="D962" s="144"/>
      <c r="E962" s="145"/>
      <c r="F962" s="144"/>
    </row>
    <row r="963" spans="1:6" ht="14.25" customHeight="1">
      <c r="A963" s="143"/>
      <c r="B963" s="144"/>
      <c r="C963" s="144"/>
      <c r="D963" s="144"/>
      <c r="E963" s="145"/>
      <c r="F963" s="144"/>
    </row>
    <row r="964" spans="1:6" ht="14.25" customHeight="1">
      <c r="A964" s="143"/>
      <c r="B964" s="144"/>
      <c r="C964" s="144"/>
      <c r="D964" s="144"/>
      <c r="E964" s="145"/>
      <c r="F964" s="144"/>
    </row>
    <row r="965" spans="1:6" ht="14.25" customHeight="1">
      <c r="A965" s="143"/>
      <c r="B965" s="144"/>
      <c r="C965" s="144"/>
      <c r="D965" s="144"/>
      <c r="E965" s="145"/>
      <c r="F965" s="144"/>
    </row>
    <row r="966" spans="1:6" ht="14.25" customHeight="1">
      <c r="A966" s="143"/>
      <c r="B966" s="144"/>
      <c r="C966" s="144"/>
      <c r="D966" s="144"/>
      <c r="E966" s="145"/>
      <c r="F966" s="144"/>
    </row>
    <row r="967" spans="1:6" ht="14.25" customHeight="1">
      <c r="A967" s="143"/>
      <c r="B967" s="144"/>
      <c r="C967" s="144"/>
      <c r="D967" s="144"/>
      <c r="E967" s="145"/>
      <c r="F967" s="144"/>
    </row>
    <row r="968" spans="1:6" ht="14.25" customHeight="1">
      <c r="A968" s="143"/>
      <c r="B968" s="144"/>
      <c r="C968" s="144"/>
      <c r="D968" s="144"/>
      <c r="E968" s="145"/>
      <c r="F968" s="144"/>
    </row>
    <row r="969" spans="1:6" ht="14.25" customHeight="1">
      <c r="A969" s="143"/>
      <c r="B969" s="144"/>
      <c r="C969" s="144"/>
      <c r="D969" s="144"/>
      <c r="E969" s="145"/>
      <c r="F969" s="144"/>
    </row>
    <row r="970" spans="1:6" ht="14.25" customHeight="1">
      <c r="A970" s="143"/>
      <c r="B970" s="144"/>
      <c r="C970" s="144"/>
      <c r="D970" s="144"/>
      <c r="E970" s="145"/>
      <c r="F970" s="144"/>
    </row>
    <row r="971" spans="1:6" ht="14.25" customHeight="1">
      <c r="A971" s="143"/>
      <c r="B971" s="144"/>
      <c r="C971" s="144"/>
      <c r="D971" s="144"/>
      <c r="E971" s="145"/>
      <c r="F971" s="144"/>
    </row>
    <row r="972" spans="1:6" ht="14.25" customHeight="1">
      <c r="A972" s="143"/>
      <c r="B972" s="144"/>
      <c r="C972" s="144"/>
      <c r="D972" s="144"/>
      <c r="E972" s="145"/>
      <c r="F972" s="144"/>
    </row>
    <row r="973" spans="1:6" ht="14.25" customHeight="1">
      <c r="A973" s="143"/>
      <c r="B973" s="144"/>
      <c r="C973" s="144"/>
      <c r="D973" s="144"/>
      <c r="E973" s="145"/>
      <c r="F973" s="144"/>
    </row>
    <row r="974" spans="1:6" ht="14.25" customHeight="1">
      <c r="A974" s="143"/>
      <c r="B974" s="144"/>
      <c r="C974" s="144"/>
      <c r="D974" s="144"/>
      <c r="E974" s="145"/>
      <c r="F974" s="144"/>
    </row>
    <row r="975" spans="1:6" ht="14.25" customHeight="1">
      <c r="A975" s="143"/>
      <c r="B975" s="144"/>
      <c r="C975" s="144"/>
      <c r="D975" s="144"/>
      <c r="E975" s="145"/>
      <c r="F975" s="144"/>
    </row>
    <row r="976" spans="1:6" ht="14.25" customHeight="1">
      <c r="A976" s="143"/>
      <c r="B976" s="144"/>
      <c r="C976" s="144"/>
      <c r="D976" s="144"/>
      <c r="E976" s="145"/>
      <c r="F976" s="144"/>
    </row>
    <row r="977" spans="1:6" ht="14.25" customHeight="1">
      <c r="A977" s="143"/>
      <c r="B977" s="144"/>
      <c r="C977" s="144"/>
      <c r="D977" s="144"/>
      <c r="E977" s="145"/>
      <c r="F977" s="144"/>
    </row>
    <row r="978" spans="1:6" ht="14.25" customHeight="1">
      <c r="A978" s="143"/>
      <c r="B978" s="144"/>
      <c r="C978" s="144"/>
      <c r="D978" s="144"/>
      <c r="E978" s="145"/>
      <c r="F978" s="144"/>
    </row>
    <row r="979" spans="1:6" ht="14.25" customHeight="1">
      <c r="A979" s="143"/>
      <c r="B979" s="144"/>
      <c r="C979" s="144"/>
      <c r="D979" s="144"/>
      <c r="E979" s="145"/>
      <c r="F979" s="144"/>
    </row>
    <row r="980" spans="1:6" ht="14.25" customHeight="1">
      <c r="A980" s="143"/>
      <c r="B980" s="144"/>
      <c r="C980" s="144"/>
      <c r="D980" s="144"/>
      <c r="E980" s="145"/>
      <c r="F980" s="144"/>
    </row>
    <row r="981" spans="1:6" ht="14.25" customHeight="1">
      <c r="A981" s="143"/>
      <c r="B981" s="144"/>
      <c r="C981" s="144"/>
      <c r="D981" s="144"/>
      <c r="E981" s="145"/>
      <c r="F981" s="144"/>
    </row>
    <row r="982" spans="1:6" ht="14.25" customHeight="1">
      <c r="A982" s="143"/>
      <c r="B982" s="144"/>
      <c r="C982" s="144"/>
      <c r="D982" s="144"/>
      <c r="E982" s="145"/>
      <c r="F982" s="144"/>
    </row>
    <row r="983" spans="1:6" ht="14.25" customHeight="1">
      <c r="A983" s="143"/>
      <c r="B983" s="144"/>
      <c r="C983" s="144"/>
      <c r="D983" s="144"/>
      <c r="E983" s="145"/>
      <c r="F983" s="144"/>
    </row>
    <row r="984" spans="1:6" ht="14.25" customHeight="1">
      <c r="A984" s="143"/>
      <c r="B984" s="144"/>
      <c r="C984" s="144"/>
      <c r="D984" s="144"/>
      <c r="E984" s="145"/>
      <c r="F984" s="144"/>
    </row>
    <row r="985" spans="1:6" ht="14.25" customHeight="1">
      <c r="A985" s="143"/>
      <c r="B985" s="144"/>
      <c r="C985" s="144"/>
      <c r="D985" s="144"/>
      <c r="E985" s="145"/>
      <c r="F985" s="144"/>
    </row>
    <row r="986" spans="1:6" ht="14.25" customHeight="1">
      <c r="A986" s="143"/>
      <c r="B986" s="144"/>
      <c r="C986" s="144"/>
      <c r="D986" s="144"/>
      <c r="E986" s="145"/>
      <c r="F986" s="144"/>
    </row>
    <row r="987" spans="1:6" ht="14.25" customHeight="1">
      <c r="A987" s="143"/>
      <c r="B987" s="144"/>
      <c r="C987" s="144"/>
      <c r="D987" s="144"/>
      <c r="E987" s="145"/>
      <c r="F987" s="144"/>
    </row>
    <row r="988" spans="1:6" ht="14.25" customHeight="1">
      <c r="A988" s="143"/>
      <c r="B988" s="144"/>
      <c r="C988" s="144"/>
      <c r="D988" s="144"/>
      <c r="E988" s="145"/>
      <c r="F988" s="144"/>
    </row>
    <row r="989" spans="1:6" ht="14.25" customHeight="1">
      <c r="A989" s="143"/>
      <c r="B989" s="144"/>
      <c r="C989" s="144"/>
      <c r="D989" s="144"/>
      <c r="E989" s="145"/>
      <c r="F989" s="144"/>
    </row>
    <row r="990" spans="1:6" ht="14.25" customHeight="1">
      <c r="A990" s="143"/>
      <c r="B990" s="144"/>
      <c r="C990" s="144"/>
      <c r="D990" s="144"/>
      <c r="E990" s="145"/>
      <c r="F990" s="144"/>
    </row>
    <row r="991" spans="1:6" ht="14.25" customHeight="1">
      <c r="A991" s="143"/>
      <c r="B991" s="144"/>
      <c r="C991" s="144"/>
      <c r="D991" s="144"/>
      <c r="E991" s="145"/>
      <c r="F991" s="144"/>
    </row>
    <row r="992" spans="1:6" ht="14.25" customHeight="1">
      <c r="A992" s="143"/>
      <c r="B992" s="144"/>
      <c r="C992" s="144"/>
      <c r="D992" s="144"/>
      <c r="E992" s="145"/>
      <c r="F992" s="144"/>
    </row>
    <row r="993" spans="1:6" ht="14.25" customHeight="1">
      <c r="A993" s="143"/>
      <c r="B993" s="144"/>
      <c r="C993" s="144"/>
      <c r="D993" s="144"/>
      <c r="E993" s="145"/>
      <c r="F993" s="144"/>
    </row>
    <row r="994" spans="1:6" ht="14.25" customHeight="1">
      <c r="A994" s="143"/>
      <c r="B994" s="144"/>
      <c r="C994" s="144"/>
      <c r="D994" s="144"/>
      <c r="E994" s="145"/>
      <c r="F994" s="144"/>
    </row>
    <row r="995" spans="1:6" ht="14.25" customHeight="1">
      <c r="A995" s="143"/>
      <c r="B995" s="144"/>
      <c r="C995" s="144"/>
      <c r="D995" s="144"/>
      <c r="E995" s="145"/>
      <c r="F995" s="144"/>
    </row>
    <row r="996" spans="1:6" ht="14.25" customHeight="1">
      <c r="A996" s="143"/>
      <c r="B996" s="144"/>
      <c r="C996" s="144"/>
      <c r="D996" s="144"/>
      <c r="E996" s="145"/>
      <c r="F996" s="144"/>
    </row>
    <row r="997" spans="1:6" ht="14.25" customHeight="1">
      <c r="A997" s="143"/>
      <c r="B997" s="144"/>
      <c r="C997" s="144"/>
      <c r="D997" s="144"/>
      <c r="E997" s="145"/>
      <c r="F997" s="144"/>
    </row>
    <row r="998" spans="1:6" ht="14.25" customHeight="1">
      <c r="A998" s="143"/>
      <c r="B998" s="144"/>
      <c r="C998" s="144"/>
      <c r="D998" s="144"/>
      <c r="E998" s="145"/>
      <c r="F998" s="144"/>
    </row>
    <row r="999" spans="1:6" ht="14.25" customHeight="1">
      <c r="A999" s="143"/>
      <c r="B999" s="144"/>
      <c r="C999" s="144"/>
      <c r="D999" s="144"/>
      <c r="E999" s="145"/>
      <c r="F999" s="144"/>
    </row>
    <row r="1000" spans="1:6" ht="14.25" customHeight="1">
      <c r="A1000" s="143"/>
      <c r="B1000" s="144"/>
      <c r="C1000" s="144"/>
      <c r="D1000" s="144"/>
      <c r="E1000" s="145"/>
      <c r="F1000" s="144"/>
    </row>
  </sheetData>
  <mergeCells count="9">
    <mergeCell ref="E5:E7"/>
    <mergeCell ref="F5:F7"/>
    <mergeCell ref="A1:F1"/>
    <mergeCell ref="A2:F2"/>
    <mergeCell ref="A3:F3"/>
    <mergeCell ref="A5:A7"/>
    <mergeCell ref="B5:B7"/>
    <mergeCell ref="C5:C7"/>
    <mergeCell ref="D5:D7"/>
  </mergeCells>
  <pageMargins left="0.7" right="0.7" top="0.75" bottom="0.75" header="0" footer="0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000"/>
  <sheetViews>
    <sheetView topLeftCell="A19" workbookViewId="0">
      <selection activeCell="I26" sqref="I26"/>
    </sheetView>
  </sheetViews>
  <sheetFormatPr defaultColWidth="14.42578125" defaultRowHeight="15" customHeight="1"/>
  <cols>
    <col min="1" max="1" width="22.28515625" customWidth="1"/>
    <col min="2" max="2" width="12.5703125" customWidth="1"/>
    <col min="3" max="3" width="10.85546875" customWidth="1"/>
    <col min="4" max="4" width="10.28515625" customWidth="1"/>
    <col min="5" max="5" width="13.42578125" customWidth="1"/>
    <col min="6" max="6" width="14.28515625" customWidth="1"/>
    <col min="7" max="7" width="8.7109375" customWidth="1"/>
    <col min="8" max="8" width="11" customWidth="1"/>
    <col min="9" max="26" width="8.7109375" customWidth="1"/>
  </cols>
  <sheetData>
    <row r="1" spans="1:9" ht="14.25" customHeight="1">
      <c r="A1" s="429" t="s">
        <v>100</v>
      </c>
      <c r="B1" s="423"/>
      <c r="C1" s="423"/>
      <c r="D1" s="423"/>
      <c r="E1" s="423"/>
      <c r="F1" s="423"/>
    </row>
    <row r="2" spans="1:9" ht="14.25" customHeight="1">
      <c r="A2" s="429" t="s">
        <v>145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 thickBot="1">
      <c r="A4" s="120"/>
      <c r="B4" s="121"/>
      <c r="C4" s="122"/>
      <c r="D4" s="122"/>
      <c r="E4" s="237"/>
      <c r="F4" s="238"/>
    </row>
    <row r="5" spans="1:9" ht="14.25" customHeight="1" thickTop="1">
      <c r="A5" s="431" t="s">
        <v>64</v>
      </c>
      <c r="B5" s="146" t="s">
        <v>146</v>
      </c>
      <c r="C5" s="146" t="s">
        <v>146</v>
      </c>
      <c r="D5" s="146" t="s">
        <v>147</v>
      </c>
      <c r="E5" s="225" t="s">
        <v>148</v>
      </c>
      <c r="F5" s="236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225" t="s">
        <v>151</v>
      </c>
      <c r="F6" s="236" t="s">
        <v>152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225" t="s">
        <v>155</v>
      </c>
      <c r="F7" s="235" t="s">
        <v>156</v>
      </c>
      <c r="G7">
        <v>10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233" t="s">
        <v>12</v>
      </c>
      <c r="F8" s="234" t="s">
        <v>35</v>
      </c>
      <c r="I8" s="314">
        <v>75.004591126684005</v>
      </c>
    </row>
    <row r="9" spans="1:9" ht="24.75" customHeight="1">
      <c r="A9" s="158" t="s">
        <v>157</v>
      </c>
      <c r="B9" s="159">
        <v>7486.14</v>
      </c>
      <c r="C9" s="160">
        <v>6859.99</v>
      </c>
      <c r="D9" s="159">
        <v>37435.131599999993</v>
      </c>
      <c r="E9" s="302">
        <f>(D9*$G$7)/C9</f>
        <v>54.570242230673799</v>
      </c>
      <c r="F9" s="352">
        <f>(H9*$I$8)/1000</f>
        <v>4881.6738134802281</v>
      </c>
      <c r="H9">
        <v>65085</v>
      </c>
    </row>
    <row r="10" spans="1:9" ht="24.75" customHeight="1">
      <c r="A10" s="158" t="s">
        <v>158</v>
      </c>
      <c r="B10" s="159">
        <v>10344.870000000001</v>
      </c>
      <c r="C10" s="160">
        <v>10022.25</v>
      </c>
      <c r="D10" s="159">
        <v>65659.681499999992</v>
      </c>
      <c r="E10" s="302">
        <f t="shared" ref="E10:E25" si="0">(D10*$G$7)/C10</f>
        <v>65.513913043478254</v>
      </c>
      <c r="F10" s="352">
        <f t="shared" ref="F10:F25" si="1">(H10*$I$8)/1000</f>
        <v>8027.2163561511024</v>
      </c>
      <c r="H10">
        <v>107023</v>
      </c>
    </row>
    <row r="11" spans="1:9" ht="24.75" customHeight="1">
      <c r="A11" s="158" t="s">
        <v>159</v>
      </c>
      <c r="B11" s="159">
        <v>7308.61</v>
      </c>
      <c r="C11" s="160">
        <v>6976.44</v>
      </c>
      <c r="D11" s="159">
        <v>36443.911999999997</v>
      </c>
      <c r="E11" s="302">
        <f t="shared" si="0"/>
        <v>52.238551467510653</v>
      </c>
      <c r="F11" s="352">
        <f t="shared" si="1"/>
        <v>8790.3880708651122</v>
      </c>
      <c r="H11">
        <v>117198</v>
      </c>
    </row>
    <row r="12" spans="1:9" ht="24.75" customHeight="1">
      <c r="A12" s="158" t="s">
        <v>160</v>
      </c>
      <c r="B12" s="159">
        <v>6009.53</v>
      </c>
      <c r="C12" s="160">
        <v>5842.49</v>
      </c>
      <c r="D12" s="159">
        <v>30073.194200000002</v>
      </c>
      <c r="E12" s="302">
        <f t="shared" si="0"/>
        <v>51.473248905860352</v>
      </c>
      <c r="F12" s="352">
        <f t="shared" si="1"/>
        <v>8737.7348478941803</v>
      </c>
      <c r="H12">
        <v>116496</v>
      </c>
    </row>
    <row r="13" spans="1:9" ht="24.75" customHeight="1">
      <c r="A13" s="158" t="s">
        <v>161</v>
      </c>
      <c r="B13" s="159">
        <v>4157.8</v>
      </c>
      <c r="C13" s="160">
        <v>4160.67</v>
      </c>
      <c r="D13" s="159">
        <v>18894.47623</v>
      </c>
      <c r="E13" s="302">
        <f t="shared" si="0"/>
        <v>45.412100046386762</v>
      </c>
      <c r="F13" s="352">
        <f t="shared" si="1"/>
        <v>5400.9305978502625</v>
      </c>
      <c r="H13">
        <v>72008</v>
      </c>
    </row>
    <row r="14" spans="1:9" ht="24.75" customHeight="1">
      <c r="A14" s="158" t="s">
        <v>162</v>
      </c>
      <c r="B14" s="159">
        <v>5599.1</v>
      </c>
      <c r="C14" s="160">
        <v>5754.68</v>
      </c>
      <c r="D14" s="159">
        <v>31964.690599999998</v>
      </c>
      <c r="E14" s="302">
        <f t="shared" si="0"/>
        <v>55.545557007513871</v>
      </c>
      <c r="F14" s="352">
        <f t="shared" si="1"/>
        <v>5967.7402929946129</v>
      </c>
      <c r="H14">
        <v>79565</v>
      </c>
    </row>
    <row r="15" spans="1:9" ht="24.75" customHeight="1">
      <c r="A15" s="158" t="s">
        <v>163</v>
      </c>
      <c r="B15" s="159">
        <v>7735.27</v>
      </c>
      <c r="C15" s="160">
        <v>6926.81</v>
      </c>
      <c r="D15" s="159">
        <v>52597.475999999995</v>
      </c>
      <c r="E15" s="302">
        <f t="shared" si="0"/>
        <v>75.933187138090986</v>
      </c>
      <c r="F15" s="352">
        <f t="shared" si="1"/>
        <v>12225.523339876114</v>
      </c>
      <c r="H15">
        <v>162997</v>
      </c>
    </row>
    <row r="16" spans="1:9" ht="24.75" customHeight="1">
      <c r="A16" s="158" t="s">
        <v>164</v>
      </c>
      <c r="B16" s="159">
        <v>9158.43</v>
      </c>
      <c r="C16" s="160">
        <v>9306.3799999999992</v>
      </c>
      <c r="D16" s="159">
        <v>67458.798999999985</v>
      </c>
      <c r="E16" s="302">
        <f t="shared" si="0"/>
        <v>72.486615633576093</v>
      </c>
      <c r="F16" s="352">
        <f t="shared" si="1"/>
        <v>11013.22413349552</v>
      </c>
      <c r="H16">
        <v>146834</v>
      </c>
    </row>
    <row r="17" spans="1:8" ht="24.75" customHeight="1">
      <c r="A17" s="158" t="s">
        <v>165</v>
      </c>
      <c r="B17" s="159">
        <v>9593.68</v>
      </c>
      <c r="C17" s="160">
        <v>9363.65</v>
      </c>
      <c r="D17" s="159">
        <v>58873.252800000009</v>
      </c>
      <c r="E17" s="302">
        <f t="shared" si="0"/>
        <v>62.874256086034833</v>
      </c>
      <c r="F17" s="352">
        <f t="shared" si="1"/>
        <v>9939.6084161081653</v>
      </c>
      <c r="H17">
        <v>132520</v>
      </c>
    </row>
    <row r="18" spans="1:8" ht="24.75" customHeight="1">
      <c r="A18" s="158" t="s">
        <v>166</v>
      </c>
      <c r="B18" s="159">
        <v>8252.61</v>
      </c>
      <c r="C18" s="160">
        <v>8148.57</v>
      </c>
      <c r="D18" s="159">
        <v>53301.234499999991</v>
      </c>
      <c r="E18" s="302">
        <f t="shared" si="0"/>
        <v>65.411764886354291</v>
      </c>
      <c r="F18" s="352">
        <f t="shared" si="1"/>
        <v>10757.308468571273</v>
      </c>
      <c r="H18">
        <v>143422</v>
      </c>
    </row>
    <row r="19" spans="1:8" ht="24.75" customHeight="1">
      <c r="A19" s="158" t="s">
        <v>167</v>
      </c>
      <c r="B19" s="159">
        <v>3972.63</v>
      </c>
      <c r="C19" s="160">
        <v>3731.14</v>
      </c>
      <c r="D19" s="159">
        <v>26058.623000000007</v>
      </c>
      <c r="E19" s="302">
        <f t="shared" si="0"/>
        <v>69.840914573025955</v>
      </c>
      <c r="F19" s="352">
        <f t="shared" si="1"/>
        <v>8154.0491197463243</v>
      </c>
      <c r="H19">
        <v>108714</v>
      </c>
    </row>
    <row r="20" spans="1:8" ht="24.75" customHeight="1">
      <c r="A20" s="158" t="s">
        <v>168</v>
      </c>
      <c r="B20" s="159">
        <v>3084.47</v>
      </c>
      <c r="C20" s="160">
        <v>2794.3</v>
      </c>
      <c r="D20" s="159">
        <v>17067.153999999999</v>
      </c>
      <c r="E20" s="302">
        <f t="shared" si="0"/>
        <v>61.078459721576053</v>
      </c>
      <c r="F20" s="352">
        <f t="shared" si="1"/>
        <v>5241.9208646616917</v>
      </c>
      <c r="H20">
        <v>69888</v>
      </c>
    </row>
    <row r="21" spans="1:8" ht="24.75" customHeight="1">
      <c r="A21" s="158" t="s">
        <v>169</v>
      </c>
      <c r="B21" s="159">
        <v>8780.4500000000007</v>
      </c>
      <c r="C21" s="160">
        <v>8544.68</v>
      </c>
      <c r="D21" s="159">
        <v>59434.159999999996</v>
      </c>
      <c r="E21" s="302">
        <f t="shared" si="0"/>
        <v>69.556917286545541</v>
      </c>
      <c r="F21" s="352">
        <f t="shared" si="1"/>
        <v>13991.281424180508</v>
      </c>
      <c r="H21">
        <v>186539</v>
      </c>
    </row>
    <row r="22" spans="1:8" ht="24.75" customHeight="1">
      <c r="A22" s="158" t="s">
        <v>170</v>
      </c>
      <c r="B22" s="159">
        <v>3816.09</v>
      </c>
      <c r="C22" s="160">
        <v>3764.55</v>
      </c>
      <c r="D22" s="159">
        <v>23398.339</v>
      </c>
      <c r="E22" s="302">
        <f t="shared" si="0"/>
        <v>62.154411549853236</v>
      </c>
      <c r="F22" s="352">
        <f t="shared" si="1"/>
        <v>12565.444146862244</v>
      </c>
      <c r="H22">
        <v>167529</v>
      </c>
    </row>
    <row r="23" spans="1:8" ht="24.75" customHeight="1">
      <c r="A23" s="158" t="s">
        <v>171</v>
      </c>
      <c r="B23" s="159">
        <v>7372.56</v>
      </c>
      <c r="C23" s="160">
        <v>7384.01</v>
      </c>
      <c r="D23" s="159">
        <v>42653.416000000005</v>
      </c>
      <c r="E23" s="302">
        <f t="shared" si="0"/>
        <v>57.764569657950084</v>
      </c>
      <c r="F23" s="352">
        <f t="shared" si="1"/>
        <v>6759.1887385633818</v>
      </c>
      <c r="H23">
        <v>90117</v>
      </c>
    </row>
    <row r="24" spans="1:8" ht="24.75" customHeight="1">
      <c r="A24" s="158" t="s">
        <v>172</v>
      </c>
      <c r="B24" s="159">
        <v>4054.72</v>
      </c>
      <c r="C24" s="160">
        <v>4032.76</v>
      </c>
      <c r="D24" s="159">
        <v>23508.959999999999</v>
      </c>
      <c r="E24" s="302">
        <f t="shared" si="0"/>
        <v>58.294964242851044</v>
      </c>
      <c r="F24" s="352">
        <f t="shared" si="1"/>
        <v>6592.8285554443974</v>
      </c>
      <c r="H24">
        <v>87899</v>
      </c>
    </row>
    <row r="25" spans="1:8" ht="24.75" customHeight="1">
      <c r="A25" s="163" t="s">
        <v>173</v>
      </c>
      <c r="B25" s="164">
        <v>1638.88</v>
      </c>
      <c r="C25" s="165">
        <v>1669.42</v>
      </c>
      <c r="D25" s="164">
        <v>1730.0071</v>
      </c>
      <c r="E25" s="302">
        <f t="shared" si="0"/>
        <v>10.36292305111955</v>
      </c>
      <c r="F25" s="352">
        <f t="shared" si="1"/>
        <v>14194.093838587061</v>
      </c>
      <c r="H25">
        <v>189243</v>
      </c>
    </row>
    <row r="26" spans="1:8" ht="24.75" customHeight="1">
      <c r="A26" s="12" t="s">
        <v>174</v>
      </c>
      <c r="B26" s="166">
        <f>SUM(B9:B25)</f>
        <v>108365.84000000001</v>
      </c>
      <c r="C26" s="166">
        <f t="shared" ref="C26:F26" si="2">SUM(C9:C25)</f>
        <v>105282.78999999998</v>
      </c>
      <c r="D26" s="166">
        <f t="shared" si="2"/>
        <v>646552.50753000006</v>
      </c>
      <c r="E26" s="166">
        <f t="shared" si="2"/>
        <v>990.51259652840133</v>
      </c>
      <c r="F26" s="166">
        <f t="shared" si="2"/>
        <v>153240.15502533215</v>
      </c>
    </row>
    <row r="27" spans="1:8" ht="24.75" customHeight="1">
      <c r="A27" s="12">
        <v>2024</v>
      </c>
      <c r="B27" s="167">
        <v>105659.46999999997</v>
      </c>
      <c r="C27" s="167">
        <v>97049.87000000001</v>
      </c>
      <c r="D27" s="167">
        <v>558164.23013487412</v>
      </c>
      <c r="E27" s="227">
        <v>56.600704459984456</v>
      </c>
      <c r="F27" s="239">
        <v>154991.43722354912</v>
      </c>
    </row>
    <row r="28" spans="1:8" ht="24.75" customHeight="1">
      <c r="A28" s="12">
        <v>2023</v>
      </c>
      <c r="B28" s="168">
        <v>84484.409999999989</v>
      </c>
      <c r="C28" s="168">
        <v>97939.900000000009</v>
      </c>
      <c r="D28" s="168">
        <v>555618.61227839999</v>
      </c>
      <c r="E28" s="231">
        <v>56.209561481862785</v>
      </c>
      <c r="F28" s="229">
        <v>134586.37900800002</v>
      </c>
    </row>
    <row r="29" spans="1:8" ht="24.75" customHeight="1">
      <c r="A29" s="12">
        <v>2022</v>
      </c>
      <c r="B29" s="168">
        <v>100347.3</v>
      </c>
      <c r="C29" s="168">
        <v>101744.00000000001</v>
      </c>
      <c r="D29" s="168">
        <v>566645.32961740007</v>
      </c>
      <c r="E29" s="231">
        <v>55.693242807182735</v>
      </c>
      <c r="F29" s="229">
        <v>210870.79965</v>
      </c>
    </row>
    <row r="30" spans="1:8" ht="24.75" customHeight="1">
      <c r="A30" s="12">
        <v>2021</v>
      </c>
      <c r="B30" s="169">
        <v>100008.6</v>
      </c>
      <c r="C30" s="168">
        <v>103012.59999999996</v>
      </c>
      <c r="D30" s="168">
        <v>609836.48572446418</v>
      </c>
      <c r="E30" s="226">
        <v>59.200183834255654</v>
      </c>
      <c r="F30" s="230">
        <v>209307.48139082702</v>
      </c>
    </row>
    <row r="31" spans="1:8" ht="24.75" customHeight="1">
      <c r="A31" s="172"/>
      <c r="B31" s="169">
        <v>119556.39999999998</v>
      </c>
      <c r="C31" s="168">
        <v>101451.2</v>
      </c>
      <c r="D31" s="168">
        <v>593189.91955999983</v>
      </c>
      <c r="E31" s="226">
        <v>58.470468516882981</v>
      </c>
      <c r="F31" s="230">
        <v>173557.26205769996</v>
      </c>
    </row>
    <row r="32" spans="1:8" ht="24.75" customHeight="1" thickBot="1">
      <c r="A32" s="173"/>
      <c r="B32" s="174"/>
      <c r="C32" s="175"/>
      <c r="D32" s="174"/>
      <c r="E32" s="228"/>
      <c r="F32" s="232"/>
    </row>
    <row r="33" spans="1:6" ht="14.25" customHeight="1" thickTop="1">
      <c r="A33" s="120" t="s">
        <v>144</v>
      </c>
      <c r="B33" s="121"/>
      <c r="C33" s="122"/>
      <c r="D33" s="122"/>
      <c r="E33" s="123"/>
      <c r="F33" s="122"/>
    </row>
    <row r="34" spans="1:6" ht="14.25" customHeight="1">
      <c r="A34" s="178" t="s">
        <v>175</v>
      </c>
      <c r="B34" s="179"/>
      <c r="C34" s="144"/>
      <c r="D34" s="144"/>
      <c r="E34" s="145"/>
      <c r="F34" s="144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000"/>
  <sheetViews>
    <sheetView topLeftCell="A16" workbookViewId="0">
      <selection activeCell="E26" sqref="E26"/>
    </sheetView>
  </sheetViews>
  <sheetFormatPr defaultColWidth="14.42578125" defaultRowHeight="15" customHeight="1"/>
  <cols>
    <col min="1" max="1" width="21.140625" customWidth="1"/>
    <col min="2" max="4" width="8.7109375" customWidth="1"/>
    <col min="5" max="5" width="12.85546875" customWidth="1"/>
    <col min="6" max="6" width="12" bestFit="1" customWidth="1"/>
    <col min="7" max="26" width="8.7109375" customWidth="1"/>
  </cols>
  <sheetData>
    <row r="1" spans="1:8" ht="14.25" customHeight="1">
      <c r="A1" s="429" t="s">
        <v>176</v>
      </c>
      <c r="B1" s="423"/>
      <c r="C1" s="423"/>
      <c r="D1" s="423"/>
      <c r="E1" s="423"/>
      <c r="F1" s="423"/>
    </row>
    <row r="2" spans="1:8" ht="14.25" customHeight="1">
      <c r="A2" s="429" t="s">
        <v>177</v>
      </c>
      <c r="B2" s="423"/>
      <c r="C2" s="423"/>
      <c r="D2" s="423"/>
      <c r="E2" s="423"/>
      <c r="F2" s="423"/>
    </row>
    <row r="3" spans="1:8" ht="14.25" customHeight="1">
      <c r="A3" s="429" t="s">
        <v>102</v>
      </c>
      <c r="B3" s="423"/>
      <c r="C3" s="423"/>
      <c r="D3" s="423"/>
      <c r="E3" s="423"/>
      <c r="F3" s="423"/>
    </row>
    <row r="4" spans="1:8" ht="14.25" customHeight="1">
      <c r="A4" s="137"/>
      <c r="B4" s="141"/>
      <c r="C4" s="122"/>
      <c r="D4" s="122"/>
      <c r="E4" s="123"/>
      <c r="F4" s="122"/>
    </row>
    <row r="5" spans="1:8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04" t="s">
        <v>147</v>
      </c>
    </row>
    <row r="6" spans="1:8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05" t="s">
        <v>178</v>
      </c>
    </row>
    <row r="7" spans="1:8" ht="14.25" customHeigh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06" t="s">
        <v>156</v>
      </c>
    </row>
    <row r="8" spans="1:8" ht="14.25" customHeigh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07" t="s">
        <v>35</v>
      </c>
      <c r="G8">
        <v>10</v>
      </c>
    </row>
    <row r="9" spans="1:8" ht="24.75" customHeight="1">
      <c r="A9" s="158" t="s">
        <v>157</v>
      </c>
      <c r="B9" s="159">
        <v>40</v>
      </c>
      <c r="C9" s="160">
        <v>234</v>
      </c>
      <c r="D9" s="159">
        <v>1720.6</v>
      </c>
      <c r="E9" s="313">
        <f>(D9*$G$8)/C9</f>
        <v>73.529914529914535</v>
      </c>
      <c r="F9" s="308"/>
      <c r="H9" s="280">
        <v>65085</v>
      </c>
    </row>
    <row r="10" spans="1:8" ht="24.75" customHeight="1">
      <c r="A10" s="158" t="s">
        <v>158</v>
      </c>
      <c r="B10" s="159">
        <v>45</v>
      </c>
      <c r="C10" s="160">
        <v>482</v>
      </c>
      <c r="D10" s="159">
        <v>3728.4800000000005</v>
      </c>
      <c r="E10" s="313">
        <f t="shared" ref="E10" si="0">(D10*$G$8)/C10</f>
        <v>77.354356846473038</v>
      </c>
      <c r="F10" s="308"/>
      <c r="H10" s="280">
        <v>107023</v>
      </c>
    </row>
    <row r="11" spans="1:8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309">
        <v>0</v>
      </c>
      <c r="H11" s="280">
        <v>117198</v>
      </c>
    </row>
    <row r="12" spans="1:8" ht="24.75" customHeight="1">
      <c r="A12" s="158" t="s">
        <v>160</v>
      </c>
      <c r="B12" s="159">
        <v>0</v>
      </c>
      <c r="C12" s="160">
        <v>0</v>
      </c>
      <c r="D12" s="159">
        <v>0</v>
      </c>
      <c r="E12" s="159">
        <v>0</v>
      </c>
      <c r="F12" s="309">
        <v>0</v>
      </c>
      <c r="H12" s="280">
        <v>116496</v>
      </c>
    </row>
    <row r="13" spans="1:8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309">
        <v>0</v>
      </c>
      <c r="H13" s="280">
        <v>72008</v>
      </c>
    </row>
    <row r="14" spans="1:8" ht="24.75" customHeight="1">
      <c r="A14" s="158" t="s">
        <v>162</v>
      </c>
      <c r="B14" s="159">
        <v>1</v>
      </c>
      <c r="C14" s="160">
        <v>3</v>
      </c>
      <c r="D14" s="159">
        <v>19.399999999999999</v>
      </c>
      <c r="E14" s="313">
        <f>(D14*$G$8)/C14</f>
        <v>64.666666666666671</v>
      </c>
      <c r="F14" s="309"/>
      <c r="H14" s="280">
        <v>79565</v>
      </c>
    </row>
    <row r="15" spans="1:8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309">
        <v>0</v>
      </c>
      <c r="H15" s="280">
        <v>162997</v>
      </c>
    </row>
    <row r="16" spans="1:8" ht="24.75" customHeight="1">
      <c r="A16" s="158" t="s">
        <v>164</v>
      </c>
      <c r="B16" s="159">
        <v>380</v>
      </c>
      <c r="C16" s="160">
        <v>813</v>
      </c>
      <c r="D16" s="159">
        <v>6097.5</v>
      </c>
      <c r="E16" s="313">
        <f t="shared" ref="E16:E17" si="1">(D16*$G$8)/C16</f>
        <v>75</v>
      </c>
      <c r="F16" s="309"/>
      <c r="H16" s="280">
        <v>146834</v>
      </c>
    </row>
    <row r="17" spans="1:8" ht="24.75" customHeight="1">
      <c r="A17" s="158" t="s">
        <v>165</v>
      </c>
      <c r="B17" s="159">
        <v>0</v>
      </c>
      <c r="C17" s="160">
        <v>19</v>
      </c>
      <c r="D17" s="159">
        <v>135.68</v>
      </c>
      <c r="E17" s="313">
        <f t="shared" si="1"/>
        <v>71.410526315789483</v>
      </c>
      <c r="F17" s="309"/>
      <c r="H17" s="280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309">
        <v>0</v>
      </c>
      <c r="H18" s="280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309">
        <v>0</v>
      </c>
      <c r="H19" s="280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309">
        <v>0</v>
      </c>
      <c r="H20" s="280">
        <v>69888</v>
      </c>
    </row>
    <row r="21" spans="1:8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309">
        <v>0</v>
      </c>
      <c r="H21" s="280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309">
        <v>0</v>
      </c>
      <c r="H22" s="280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09">
        <v>0</v>
      </c>
      <c r="H23" s="280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309">
        <v>0</v>
      </c>
      <c r="H24" s="280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59">
        <v>0</v>
      </c>
      <c r="E25" s="159">
        <v>0</v>
      </c>
      <c r="F25" s="309">
        <v>0</v>
      </c>
      <c r="H25" s="280">
        <v>189243</v>
      </c>
    </row>
    <row r="26" spans="1:8" ht="24.75" customHeight="1">
      <c r="A26" s="12">
        <v>2025</v>
      </c>
      <c r="B26" s="186">
        <f>SUM(B9:B25)</f>
        <v>466</v>
      </c>
      <c r="C26" s="186">
        <f t="shared" ref="C26:F26" si="2">SUM(C9:C25)</f>
        <v>1551</v>
      </c>
      <c r="D26" s="186">
        <f t="shared" si="2"/>
        <v>11701.66</v>
      </c>
      <c r="E26" s="186">
        <f t="shared" si="2"/>
        <v>361.96146435884373</v>
      </c>
      <c r="F26" s="316">
        <f t="shared" si="2"/>
        <v>0</v>
      </c>
    </row>
    <row r="27" spans="1:8" ht="24.75" customHeight="1">
      <c r="A27" s="12">
        <f t="shared" ref="A27:A30" si="3">A26-1</f>
        <v>2024</v>
      </c>
      <c r="B27" s="167">
        <v>3801</v>
      </c>
      <c r="C27" s="167">
        <v>2840</v>
      </c>
      <c r="D27" s="167">
        <v>17349.501949999998</v>
      </c>
      <c r="E27" s="187">
        <v>61.08979559859155</v>
      </c>
      <c r="F27" s="310"/>
    </row>
    <row r="28" spans="1:8" ht="24.75" customHeight="1">
      <c r="A28" s="12">
        <f t="shared" si="3"/>
        <v>2023</v>
      </c>
      <c r="B28" s="169">
        <v>891</v>
      </c>
      <c r="C28" s="169">
        <v>2287</v>
      </c>
      <c r="D28" s="169">
        <v>14503.900971999999</v>
      </c>
      <c r="E28" s="170">
        <v>62.124871705315293</v>
      </c>
      <c r="F28" s="311"/>
    </row>
    <row r="29" spans="1:8" ht="24.75" customHeight="1">
      <c r="A29" s="12">
        <f t="shared" si="3"/>
        <v>2022</v>
      </c>
      <c r="B29" s="169">
        <v>1841</v>
      </c>
      <c r="C29" s="169">
        <v>1889.9</v>
      </c>
      <c r="D29" s="169">
        <v>9033.2457864000007</v>
      </c>
      <c r="E29" s="170">
        <v>47.797480218000956</v>
      </c>
      <c r="F29" s="311"/>
    </row>
    <row r="30" spans="1:8" ht="24.75" customHeight="1">
      <c r="A30" s="12">
        <f t="shared" si="3"/>
        <v>2021</v>
      </c>
      <c r="B30" s="169">
        <v>1416</v>
      </c>
      <c r="C30" s="169">
        <v>1451</v>
      </c>
      <c r="D30" s="169">
        <v>9076.9089435922997</v>
      </c>
      <c r="E30" s="170">
        <v>62.556229797328051</v>
      </c>
      <c r="F30" s="311"/>
    </row>
    <row r="31" spans="1:8" ht="24.75" customHeight="1">
      <c r="A31" s="172"/>
      <c r="B31" s="169">
        <v>1124</v>
      </c>
      <c r="C31" s="169">
        <v>1747</v>
      </c>
      <c r="D31" s="169">
        <v>9420.1892000000007</v>
      </c>
      <c r="E31" s="170">
        <v>53.922090440755582</v>
      </c>
      <c r="F31" s="311"/>
    </row>
    <row r="32" spans="1:8" ht="24.75" customHeight="1">
      <c r="A32" s="158"/>
      <c r="B32" s="159"/>
      <c r="C32" s="159"/>
      <c r="D32" s="159"/>
      <c r="E32" s="161"/>
      <c r="F32" s="309"/>
    </row>
    <row r="33" spans="1:6" ht="14.25" customHeight="1">
      <c r="A33" s="173"/>
      <c r="B33" s="174"/>
      <c r="C33" s="174"/>
      <c r="D33" s="174"/>
      <c r="E33" s="176"/>
      <c r="F33" s="312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>
      <c r="A35" s="178" t="s">
        <v>175</v>
      </c>
      <c r="B35" s="121"/>
      <c r="C35" s="122"/>
      <c r="D35" s="122"/>
      <c r="E35" s="123"/>
      <c r="F35" s="122"/>
    </row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1000"/>
  <sheetViews>
    <sheetView topLeftCell="A19" workbookViewId="0">
      <selection activeCell="B26" sqref="B26:F26"/>
    </sheetView>
  </sheetViews>
  <sheetFormatPr defaultColWidth="14.42578125" defaultRowHeight="15" customHeight="1"/>
  <cols>
    <col min="1" max="1" width="20" customWidth="1"/>
    <col min="2" max="4" width="8.7109375" customWidth="1"/>
    <col min="5" max="5" width="11.28515625" customWidth="1"/>
    <col min="6" max="6" width="13.28515625" customWidth="1"/>
    <col min="7" max="26" width="8.7109375" customWidth="1"/>
  </cols>
  <sheetData>
    <row r="1" spans="1:14" ht="14.25" customHeight="1">
      <c r="A1" s="429" t="s">
        <v>179</v>
      </c>
      <c r="B1" s="423"/>
      <c r="C1" s="423"/>
      <c r="D1" s="423"/>
      <c r="E1" s="423"/>
      <c r="F1" s="423"/>
    </row>
    <row r="2" spans="1:14" ht="14.25" customHeight="1">
      <c r="A2" s="429" t="s">
        <v>180</v>
      </c>
      <c r="B2" s="423"/>
      <c r="C2" s="423"/>
      <c r="D2" s="423"/>
      <c r="E2" s="423"/>
      <c r="F2" s="423"/>
    </row>
    <row r="3" spans="1:14" ht="14.25" customHeight="1">
      <c r="A3" s="429" t="s">
        <v>102</v>
      </c>
      <c r="B3" s="423"/>
      <c r="C3" s="423"/>
      <c r="D3" s="423"/>
      <c r="E3" s="423"/>
      <c r="F3" s="423"/>
    </row>
    <row r="4" spans="1:14" ht="14.25" customHeight="1">
      <c r="A4" s="137"/>
      <c r="B4" s="141"/>
      <c r="C4" s="122"/>
      <c r="D4" s="122"/>
      <c r="E4" s="123"/>
      <c r="F4" s="122"/>
    </row>
    <row r="5" spans="1:14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04" t="s">
        <v>147</v>
      </c>
    </row>
    <row r="6" spans="1:14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05" t="s">
        <v>178</v>
      </c>
    </row>
    <row r="7" spans="1:14" ht="14.25" customHeigh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06" t="s">
        <v>156</v>
      </c>
      <c r="G7" s="314"/>
      <c r="H7" s="314" t="s">
        <v>248</v>
      </c>
      <c r="I7" s="314"/>
      <c r="J7" s="314"/>
      <c r="K7" s="314"/>
      <c r="L7" s="314"/>
      <c r="M7" s="314"/>
    </row>
    <row r="8" spans="1:14" ht="14.25" customHeigh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15" t="s">
        <v>35</v>
      </c>
      <c r="G8" s="314">
        <v>10</v>
      </c>
      <c r="H8" s="314">
        <v>1.9599999999999999E-2</v>
      </c>
      <c r="I8" s="314"/>
      <c r="J8" s="314"/>
      <c r="K8" s="314"/>
      <c r="L8" s="314"/>
      <c r="M8" s="314"/>
    </row>
    <row r="9" spans="1:14" ht="24.75" customHeight="1">
      <c r="A9" s="158" t="s">
        <v>157</v>
      </c>
      <c r="B9" s="159">
        <v>39</v>
      </c>
      <c r="C9" s="160">
        <v>39</v>
      </c>
      <c r="D9" s="159">
        <v>324.60000000000002</v>
      </c>
      <c r="E9" s="313">
        <f>(D9*$G$8)/C9</f>
        <v>83.230769230769226</v>
      </c>
      <c r="F9" s="367">
        <f t="shared" ref="F9:F25" si="0">G9*$H$8</f>
        <v>1275.6659999999999</v>
      </c>
      <c r="G9" s="350">
        <v>65085</v>
      </c>
      <c r="H9" s="314" t="s">
        <v>249</v>
      </c>
    </row>
    <row r="10" spans="1:14" ht="24.75" customHeight="1">
      <c r="A10" s="158" t="s">
        <v>158</v>
      </c>
      <c r="B10" s="159">
        <v>2962</v>
      </c>
      <c r="C10" s="160">
        <v>3128</v>
      </c>
      <c r="D10" s="159">
        <v>24813.8</v>
      </c>
      <c r="E10" s="313">
        <f t="shared" ref="E10:E25" si="1">(D10*$G$8)/C10</f>
        <v>79.32800511508951</v>
      </c>
      <c r="F10" s="367">
        <f t="shared" si="0"/>
        <v>2097.6507999999999</v>
      </c>
      <c r="G10" s="350">
        <v>107023</v>
      </c>
    </row>
    <row r="11" spans="1:14" ht="24.75" customHeight="1">
      <c r="A11" s="158" t="s">
        <v>159</v>
      </c>
      <c r="B11" s="159">
        <v>238</v>
      </c>
      <c r="C11" s="160">
        <v>278</v>
      </c>
      <c r="D11" s="159">
        <v>2241.5</v>
      </c>
      <c r="E11" s="313">
        <f t="shared" si="1"/>
        <v>80.629496402877692</v>
      </c>
      <c r="F11" s="367">
        <f t="shared" si="0"/>
        <v>2297.0807999999997</v>
      </c>
      <c r="G11" s="350">
        <v>117198</v>
      </c>
    </row>
    <row r="12" spans="1:14" ht="24.75" customHeight="1">
      <c r="A12" s="158" t="s">
        <v>160</v>
      </c>
      <c r="B12" s="159">
        <v>1090</v>
      </c>
      <c r="C12" s="160">
        <v>1076</v>
      </c>
      <c r="D12" s="159">
        <v>7232.6</v>
      </c>
      <c r="E12" s="313">
        <f t="shared" si="1"/>
        <v>67.217472118959108</v>
      </c>
      <c r="F12" s="367">
        <f t="shared" si="0"/>
        <v>2283.3215999999998</v>
      </c>
      <c r="G12" s="350">
        <v>116496</v>
      </c>
    </row>
    <row r="13" spans="1:14" ht="24.75" customHeight="1">
      <c r="A13" s="158" t="s">
        <v>161</v>
      </c>
      <c r="B13" s="159">
        <v>1043</v>
      </c>
      <c r="C13" s="160">
        <v>1041</v>
      </c>
      <c r="D13" s="159">
        <v>5228.7</v>
      </c>
      <c r="E13" s="313">
        <f t="shared" si="1"/>
        <v>50.227665706051873</v>
      </c>
      <c r="F13" s="367">
        <f t="shared" si="0"/>
        <v>1411.3568</v>
      </c>
      <c r="G13" s="350">
        <v>72008</v>
      </c>
    </row>
    <row r="14" spans="1:14" ht="24.75" customHeight="1">
      <c r="A14" s="158" t="s">
        <v>162</v>
      </c>
      <c r="B14" s="159">
        <v>2012</v>
      </c>
      <c r="C14" s="160">
        <v>2939</v>
      </c>
      <c r="D14" s="159">
        <v>21177.230000000003</v>
      </c>
      <c r="E14" s="313">
        <f t="shared" si="1"/>
        <v>72.055903368492707</v>
      </c>
      <c r="F14" s="367">
        <f t="shared" si="0"/>
        <v>1559.4739999999999</v>
      </c>
      <c r="G14" s="350">
        <v>79565</v>
      </c>
      <c r="M14" s="350"/>
      <c r="N14" s="350"/>
    </row>
    <row r="15" spans="1:14" ht="24.75" customHeight="1">
      <c r="A15" s="158" t="s">
        <v>163</v>
      </c>
      <c r="B15" s="159">
        <v>5062</v>
      </c>
      <c r="C15" s="160">
        <v>3523</v>
      </c>
      <c r="D15" s="159">
        <v>22901.9</v>
      </c>
      <c r="E15" s="313">
        <f t="shared" si="1"/>
        <v>65.006812375816068</v>
      </c>
      <c r="F15" s="367">
        <f t="shared" si="0"/>
        <v>3194.7411999999999</v>
      </c>
      <c r="G15" s="350">
        <v>162997</v>
      </c>
    </row>
    <row r="16" spans="1:14" ht="24.75" customHeight="1">
      <c r="A16" s="158" t="s">
        <v>164</v>
      </c>
      <c r="B16" s="159">
        <v>8787</v>
      </c>
      <c r="C16" s="160">
        <v>9057</v>
      </c>
      <c r="D16" s="159">
        <v>64662.999999999993</v>
      </c>
      <c r="E16" s="313">
        <f t="shared" si="1"/>
        <v>71.395605608921258</v>
      </c>
      <c r="F16" s="367">
        <f t="shared" si="0"/>
        <v>2877.9463999999998</v>
      </c>
      <c r="G16" s="350">
        <v>146834</v>
      </c>
    </row>
    <row r="17" spans="1:7" ht="24.75" customHeight="1">
      <c r="A17" s="158" t="s">
        <v>165</v>
      </c>
      <c r="B17" s="159">
        <v>2266</v>
      </c>
      <c r="C17" s="160">
        <v>2450</v>
      </c>
      <c r="D17" s="159">
        <v>17749.340000000004</v>
      </c>
      <c r="E17" s="313">
        <f t="shared" si="1"/>
        <v>72.446285714285722</v>
      </c>
      <c r="F17" s="367">
        <f t="shared" si="0"/>
        <v>2597.3919999999998</v>
      </c>
      <c r="G17" s="350">
        <v>132520</v>
      </c>
    </row>
    <row r="18" spans="1:7" ht="24.75" customHeight="1">
      <c r="A18" s="158" t="s">
        <v>166</v>
      </c>
      <c r="B18" s="159">
        <v>459</v>
      </c>
      <c r="C18" s="160">
        <v>0</v>
      </c>
      <c r="D18" s="159">
        <v>0</v>
      </c>
      <c r="E18" s="159">
        <v>0</v>
      </c>
      <c r="F18" s="367">
        <f t="shared" si="0"/>
        <v>2811.0711999999999</v>
      </c>
      <c r="G18" s="350">
        <v>143422</v>
      </c>
    </row>
    <row r="19" spans="1:7" ht="24.75" customHeight="1">
      <c r="A19" s="158" t="s">
        <v>167</v>
      </c>
      <c r="B19" s="159">
        <v>2036</v>
      </c>
      <c r="C19" s="160">
        <v>0</v>
      </c>
      <c r="D19" s="159">
        <v>0</v>
      </c>
      <c r="E19" s="159">
        <v>0</v>
      </c>
      <c r="F19" s="367">
        <f t="shared" si="0"/>
        <v>2130.7943999999998</v>
      </c>
      <c r="G19" s="350">
        <v>108714</v>
      </c>
    </row>
    <row r="20" spans="1:7" ht="24.75" customHeight="1">
      <c r="A20" s="158" t="s">
        <v>168</v>
      </c>
      <c r="B20" s="159">
        <v>641</v>
      </c>
      <c r="C20" s="160">
        <v>437</v>
      </c>
      <c r="D20" s="159">
        <v>2857.8</v>
      </c>
      <c r="E20" s="313">
        <f t="shared" si="1"/>
        <v>65.395881006864983</v>
      </c>
      <c r="F20" s="367">
        <f t="shared" si="0"/>
        <v>1369.8047999999999</v>
      </c>
      <c r="G20" s="350">
        <v>69888</v>
      </c>
    </row>
    <row r="21" spans="1:7" ht="24.75" customHeight="1">
      <c r="A21" s="158" t="s">
        <v>169</v>
      </c>
      <c r="B21" s="159">
        <v>975</v>
      </c>
      <c r="C21" s="160">
        <v>0</v>
      </c>
      <c r="D21" s="159">
        <v>0</v>
      </c>
      <c r="E21" s="159">
        <v>0</v>
      </c>
      <c r="F21" s="367">
        <f t="shared" si="0"/>
        <v>3656.1643999999997</v>
      </c>
      <c r="G21" s="350">
        <v>186539</v>
      </c>
    </row>
    <row r="22" spans="1:7" ht="24.75" customHeight="1">
      <c r="A22" s="158" t="s">
        <v>170</v>
      </c>
      <c r="B22" s="159">
        <v>119</v>
      </c>
      <c r="C22" s="160">
        <v>0</v>
      </c>
      <c r="D22" s="159">
        <v>0</v>
      </c>
      <c r="E22" s="159">
        <v>0</v>
      </c>
      <c r="F22" s="367">
        <f t="shared" si="0"/>
        <v>3283.5684000000001</v>
      </c>
      <c r="G22" s="350">
        <v>167529</v>
      </c>
    </row>
    <row r="23" spans="1:7" ht="24.75" customHeight="1">
      <c r="A23" s="158" t="s">
        <v>171</v>
      </c>
      <c r="B23" s="159">
        <v>765</v>
      </c>
      <c r="C23" s="160">
        <v>894</v>
      </c>
      <c r="D23" s="159">
        <v>6316.3</v>
      </c>
      <c r="E23" s="313">
        <f t="shared" si="1"/>
        <v>70.652125279642064</v>
      </c>
      <c r="F23" s="367">
        <f t="shared" si="0"/>
        <v>1766.2931999999998</v>
      </c>
      <c r="G23" s="350">
        <v>90117</v>
      </c>
    </row>
    <row r="24" spans="1:7" ht="24.75" customHeight="1">
      <c r="A24" s="158" t="s">
        <v>172</v>
      </c>
      <c r="B24" s="159">
        <v>1480</v>
      </c>
      <c r="C24" s="160">
        <v>1524</v>
      </c>
      <c r="D24" s="159">
        <v>13703.9</v>
      </c>
      <c r="E24" s="313">
        <f t="shared" si="1"/>
        <v>89.920603674540686</v>
      </c>
      <c r="F24" s="367">
        <f t="shared" si="0"/>
        <v>1722.8203999999998</v>
      </c>
      <c r="G24" s="350">
        <v>87899</v>
      </c>
    </row>
    <row r="25" spans="1:7" ht="24.75" customHeight="1">
      <c r="A25" s="182" t="s">
        <v>173</v>
      </c>
      <c r="B25" s="183">
        <v>83</v>
      </c>
      <c r="C25" s="184">
        <v>83</v>
      </c>
      <c r="D25" s="183">
        <v>482.7</v>
      </c>
      <c r="E25" s="313">
        <f t="shared" si="1"/>
        <v>58.156626506024097</v>
      </c>
      <c r="F25" s="367">
        <f t="shared" si="0"/>
        <v>3709.1628000000001</v>
      </c>
      <c r="G25" s="350">
        <v>189243</v>
      </c>
    </row>
    <row r="26" spans="1:7" ht="24.75" customHeight="1">
      <c r="A26" s="12">
        <v>2025</v>
      </c>
      <c r="B26" s="186">
        <f>SUM(B9:B25)</f>
        <v>30057</v>
      </c>
      <c r="C26" s="186">
        <f t="shared" ref="C26:E26" si="2">SUM(C9:C25)</f>
        <v>26469</v>
      </c>
      <c r="D26" s="186">
        <f t="shared" si="2"/>
        <v>189693.36999999997</v>
      </c>
      <c r="E26" s="186">
        <f t="shared" si="2"/>
        <v>925.66325210833497</v>
      </c>
      <c r="F26" s="316">
        <f>SUM(F9:F25)</f>
        <v>40044.309199999996</v>
      </c>
    </row>
    <row r="27" spans="1:7" ht="24.75" customHeight="1">
      <c r="A27" s="12">
        <f t="shared" ref="A27:A30" si="3">A26-1</f>
        <v>2024</v>
      </c>
      <c r="B27" s="167">
        <v>32438</v>
      </c>
      <c r="C27" s="167">
        <v>27092.5</v>
      </c>
      <c r="D27" s="167">
        <v>195056.83</v>
      </c>
      <c r="E27" s="187">
        <v>71.99661529943711</v>
      </c>
      <c r="F27" s="310">
        <v>5909.9783599999982</v>
      </c>
    </row>
    <row r="28" spans="1:7" ht="24.75" customHeight="1">
      <c r="A28" s="12">
        <f t="shared" si="3"/>
        <v>2023</v>
      </c>
      <c r="B28" s="169">
        <v>26387.02</v>
      </c>
      <c r="C28" s="169">
        <v>27229.759999999998</v>
      </c>
      <c r="D28" s="169">
        <v>199776.81296923078</v>
      </c>
      <c r="E28" s="170">
        <v>55.133775332157711</v>
      </c>
      <c r="F28" s="311">
        <v>742.78301280000005</v>
      </c>
    </row>
    <row r="29" spans="1:7" ht="24.75" customHeight="1">
      <c r="A29" s="12">
        <f t="shared" si="3"/>
        <v>2022</v>
      </c>
      <c r="B29" s="169">
        <v>31557.1</v>
      </c>
      <c r="C29" s="169">
        <v>28865.299999999996</v>
      </c>
      <c r="D29" s="169">
        <v>193767.99199999997</v>
      </c>
      <c r="E29" s="170">
        <v>67.128348570775287</v>
      </c>
      <c r="F29" s="311">
        <v>2968.3048500000004</v>
      </c>
    </row>
    <row r="30" spans="1:7" ht="24.75" customHeight="1">
      <c r="A30" s="12">
        <f t="shared" si="3"/>
        <v>2021</v>
      </c>
      <c r="B30" s="169">
        <v>31605.3</v>
      </c>
      <c r="C30" s="169">
        <v>25608.9</v>
      </c>
      <c r="D30" s="169">
        <v>187014.62572727274</v>
      </c>
      <c r="E30" s="170">
        <v>73.027199812281168</v>
      </c>
      <c r="F30" s="311">
        <v>2946.2989336830001</v>
      </c>
    </row>
    <row r="31" spans="1:7" ht="24.75" customHeight="1">
      <c r="A31" s="172"/>
      <c r="B31" s="169">
        <v>32336.099999999995</v>
      </c>
      <c r="C31" s="169">
        <v>25719.400000000005</v>
      </c>
      <c r="D31" s="169">
        <v>167724.59714</v>
      </c>
      <c r="E31" s="170">
        <v>65.213262027885548</v>
      </c>
      <c r="F31" s="311">
        <v>1453.8828235200001</v>
      </c>
    </row>
    <row r="32" spans="1:7" ht="14.25" customHeight="1">
      <c r="A32" s="158"/>
      <c r="B32" s="159"/>
      <c r="C32" s="159"/>
      <c r="D32" s="159"/>
      <c r="E32" s="161"/>
      <c r="F32" s="309"/>
    </row>
    <row r="33" spans="1:6" ht="14.25" customHeight="1">
      <c r="A33" s="173"/>
      <c r="B33" s="174"/>
      <c r="C33" s="174"/>
      <c r="D33" s="174"/>
      <c r="E33" s="176"/>
      <c r="F33" s="312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000"/>
  <sheetViews>
    <sheetView topLeftCell="A16" workbookViewId="0">
      <selection activeCell="H7" sqref="H7"/>
    </sheetView>
  </sheetViews>
  <sheetFormatPr defaultColWidth="14.42578125" defaultRowHeight="15" customHeight="1"/>
  <cols>
    <col min="1" max="1" width="21.42578125" customWidth="1"/>
    <col min="2" max="4" width="8.7109375" customWidth="1"/>
    <col min="5" max="5" width="9.140625" customWidth="1"/>
    <col min="6" max="6" width="13" customWidth="1"/>
    <col min="7" max="7" width="10.5703125" bestFit="1" customWidth="1"/>
    <col min="8" max="8" width="10.5703125" customWidth="1"/>
    <col min="9" max="26" width="8.7109375" customWidth="1"/>
  </cols>
  <sheetData>
    <row r="1" spans="1:9" ht="14.25" customHeight="1">
      <c r="A1" s="429" t="s">
        <v>181</v>
      </c>
      <c r="B1" s="423"/>
      <c r="C1" s="423"/>
      <c r="D1" s="423"/>
      <c r="E1" s="423"/>
      <c r="F1" s="423"/>
    </row>
    <row r="2" spans="1:9" ht="14.25" customHeight="1">
      <c r="A2" s="429" t="s">
        <v>182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04" t="s">
        <v>147</v>
      </c>
    </row>
    <row r="6" spans="1:9" ht="14.25" customHeight="1" thickBo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05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06" t="s">
        <v>156</v>
      </c>
      <c r="G7" s="366">
        <v>4.0600000000000002E-3</v>
      </c>
      <c r="H7" s="377">
        <f>0.078*52/1000</f>
        <v>4.0559999999999997E-3</v>
      </c>
      <c r="I7" s="376"/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07" t="s">
        <v>35</v>
      </c>
      <c r="G8" s="317">
        <v>10</v>
      </c>
    </row>
    <row r="9" spans="1:9" ht="24.75" customHeight="1">
      <c r="A9" s="158" t="s">
        <v>157</v>
      </c>
      <c r="B9" s="159">
        <v>1</v>
      </c>
      <c r="C9" s="160">
        <v>0</v>
      </c>
      <c r="D9" s="159">
        <v>0.58402777777777803</v>
      </c>
      <c r="E9" s="313"/>
      <c r="F9" s="352">
        <f>G9*$G$7</f>
        <v>264.24510000000004</v>
      </c>
      <c r="G9" s="280">
        <v>65085</v>
      </c>
    </row>
    <row r="10" spans="1:9" ht="24.75" customHeight="1">
      <c r="A10" s="158" t="s">
        <v>158</v>
      </c>
      <c r="B10" s="159">
        <v>43</v>
      </c>
      <c r="C10" s="160">
        <v>14</v>
      </c>
      <c r="D10" s="159">
        <v>84</v>
      </c>
      <c r="E10" s="313">
        <f t="shared" ref="E10:E12" si="0">(D10*$G$8)/C10</f>
        <v>60</v>
      </c>
      <c r="F10" s="352">
        <f>G10*$G$7</f>
        <v>434.51338000000004</v>
      </c>
      <c r="G10" s="280">
        <v>107023</v>
      </c>
    </row>
    <row r="11" spans="1:9" ht="24.75" customHeight="1">
      <c r="A11" s="158" t="s">
        <v>159</v>
      </c>
      <c r="B11" s="159">
        <v>10</v>
      </c>
      <c r="C11" s="160">
        <v>10</v>
      </c>
      <c r="D11" s="159">
        <v>106</v>
      </c>
      <c r="E11" s="313">
        <f t="shared" si="0"/>
        <v>106</v>
      </c>
      <c r="F11" s="352">
        <f>G11*$G$7</f>
        <v>475.82388000000003</v>
      </c>
      <c r="G11" s="280">
        <v>117198</v>
      </c>
    </row>
    <row r="12" spans="1:9" ht="24.75" customHeight="1">
      <c r="A12" s="158" t="s">
        <v>160</v>
      </c>
      <c r="B12" s="159">
        <v>101</v>
      </c>
      <c r="C12" s="160">
        <v>153</v>
      </c>
      <c r="D12" s="159">
        <v>2246</v>
      </c>
      <c r="E12" s="313">
        <f t="shared" si="0"/>
        <v>146.79738562091504</v>
      </c>
      <c r="F12" s="352">
        <f>G12*$G$7</f>
        <v>472.97376000000003</v>
      </c>
      <c r="G12" s="280">
        <v>116496</v>
      </c>
    </row>
    <row r="13" spans="1:9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352">
        <f>G13*$G$7</f>
        <v>292.35248000000001</v>
      </c>
      <c r="G13" s="280">
        <v>72008</v>
      </c>
    </row>
    <row r="14" spans="1:9" ht="24.75" customHeight="1">
      <c r="A14" s="158" t="s">
        <v>162</v>
      </c>
      <c r="B14" s="159">
        <v>18</v>
      </c>
      <c r="C14" s="160">
        <v>14</v>
      </c>
      <c r="D14" s="159">
        <v>270</v>
      </c>
      <c r="E14" s="313">
        <f>(D14*$G$8)/C14</f>
        <v>192.85714285714286</v>
      </c>
      <c r="F14" s="352">
        <f t="shared" ref="F14:F25" si="1">G14*$G$7</f>
        <v>323.03390000000002</v>
      </c>
      <c r="G14" s="280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61">
        <f>SUM(E14)</f>
        <v>192.85714285714286</v>
      </c>
      <c r="F15" s="352">
        <f t="shared" si="1"/>
        <v>661.76782000000003</v>
      </c>
      <c r="G15" s="280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352">
        <f t="shared" si="1"/>
        <v>596.14604000000008</v>
      </c>
      <c r="G16" s="280">
        <v>146834</v>
      </c>
    </row>
    <row r="17" spans="1:7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352">
        <f t="shared" si="1"/>
        <v>538.03120000000001</v>
      </c>
      <c r="G17" s="280">
        <v>132520</v>
      </c>
    </row>
    <row r="18" spans="1:7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352">
        <f t="shared" si="1"/>
        <v>582.29331999999999</v>
      </c>
      <c r="G18" s="280">
        <v>143422</v>
      </c>
    </row>
    <row r="19" spans="1:7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352">
        <f t="shared" si="1"/>
        <v>441.37884000000003</v>
      </c>
      <c r="G19" s="280">
        <v>108714</v>
      </c>
    </row>
    <row r="20" spans="1:7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352">
        <f t="shared" si="1"/>
        <v>283.74528000000004</v>
      </c>
      <c r="G20" s="280">
        <v>69888</v>
      </c>
    </row>
    <row r="21" spans="1:7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352">
        <f t="shared" si="1"/>
        <v>757.34834000000001</v>
      </c>
      <c r="G21" s="280">
        <v>186539</v>
      </c>
    </row>
    <row r="22" spans="1:7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352">
        <f t="shared" si="1"/>
        <v>680.16774000000009</v>
      </c>
      <c r="G22" s="280">
        <v>167529</v>
      </c>
    </row>
    <row r="23" spans="1:7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52">
        <f t="shared" si="1"/>
        <v>365.87502000000001</v>
      </c>
      <c r="G23" s="280">
        <v>90117</v>
      </c>
    </row>
    <row r="24" spans="1:7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352">
        <f t="shared" si="1"/>
        <v>356.86994000000004</v>
      </c>
      <c r="G24" s="280">
        <v>87899</v>
      </c>
    </row>
    <row r="25" spans="1:7" ht="24.75" customHeight="1">
      <c r="A25" s="182" t="s">
        <v>173</v>
      </c>
      <c r="B25" s="183">
        <v>0</v>
      </c>
      <c r="C25" s="184">
        <v>0</v>
      </c>
      <c r="D25" s="183">
        <v>0</v>
      </c>
      <c r="E25" s="159">
        <v>0</v>
      </c>
      <c r="F25" s="352">
        <f t="shared" si="1"/>
        <v>768.32658000000004</v>
      </c>
      <c r="G25" s="280">
        <v>189243</v>
      </c>
    </row>
    <row r="26" spans="1:7" ht="24.75" customHeight="1">
      <c r="A26" s="12">
        <v>2025</v>
      </c>
      <c r="B26" s="186">
        <f>SUM(B9:B25)</f>
        <v>173</v>
      </c>
      <c r="C26" s="186">
        <f t="shared" ref="C26:F26" si="2">SUM(C9:C25)</f>
        <v>191</v>
      </c>
      <c r="D26" s="186">
        <f t="shared" si="2"/>
        <v>2706.5840277777779</v>
      </c>
      <c r="E26" s="186">
        <f t="shared" si="2"/>
        <v>698.51167133520084</v>
      </c>
      <c r="F26" s="186">
        <f t="shared" si="2"/>
        <v>8294.8926200000024</v>
      </c>
    </row>
    <row r="27" spans="1:7" ht="24.75" customHeight="1">
      <c r="A27" s="12">
        <f t="shared" ref="A27:A30" si="3">A26-1</f>
        <v>2024</v>
      </c>
      <c r="B27" s="167">
        <v>353</v>
      </c>
      <c r="C27" s="167">
        <v>408</v>
      </c>
      <c r="D27" s="167">
        <v>7326.7</v>
      </c>
      <c r="E27" s="187">
        <v>179.57598039215685</v>
      </c>
      <c r="F27" s="310">
        <v>9670.8736799999988</v>
      </c>
    </row>
    <row r="28" spans="1:7" ht="24.75" customHeight="1">
      <c r="A28" s="12">
        <f t="shared" si="3"/>
        <v>2023</v>
      </c>
      <c r="B28" s="169">
        <v>308</v>
      </c>
      <c r="C28" s="169">
        <v>510</v>
      </c>
      <c r="D28" s="169">
        <v>7976</v>
      </c>
      <c r="E28" s="170">
        <v>170.93758241758241</v>
      </c>
      <c r="F28" s="311">
        <v>10625.240448</v>
      </c>
    </row>
    <row r="29" spans="1:7" ht="24.75" customHeight="1">
      <c r="A29" s="12">
        <f t="shared" si="3"/>
        <v>2022</v>
      </c>
      <c r="B29" s="169">
        <v>475.7</v>
      </c>
      <c r="C29" s="169">
        <v>337.7</v>
      </c>
      <c r="D29" s="169">
        <v>313.94</v>
      </c>
      <c r="E29" s="170">
        <v>92.964169381107496</v>
      </c>
      <c r="F29" s="311">
        <v>10621.281300000001</v>
      </c>
    </row>
    <row r="30" spans="1:7" ht="24.75" customHeight="1">
      <c r="A30" s="12">
        <f t="shared" si="3"/>
        <v>2021</v>
      </c>
      <c r="B30" s="169">
        <v>468</v>
      </c>
      <c r="C30" s="169">
        <v>521</v>
      </c>
      <c r="D30" s="169">
        <v>6655.2</v>
      </c>
      <c r="E30" s="170">
        <v>127.73896353166987</v>
      </c>
      <c r="F30" s="311">
        <v>10542.539041614</v>
      </c>
    </row>
    <row r="31" spans="1:7" ht="24.75" customHeight="1">
      <c r="A31" s="172"/>
      <c r="B31" s="169">
        <v>929</v>
      </c>
      <c r="C31" s="169">
        <v>1008</v>
      </c>
      <c r="D31" s="169">
        <v>21585.311999999998</v>
      </c>
      <c r="E31" s="170">
        <v>214.14</v>
      </c>
      <c r="F31" s="311">
        <v>11812.797941100001</v>
      </c>
    </row>
    <row r="32" spans="1:7" ht="14.25" customHeight="1">
      <c r="A32" s="158"/>
      <c r="B32" s="159"/>
      <c r="C32" s="159"/>
      <c r="D32" s="159"/>
      <c r="E32" s="161"/>
      <c r="F32" s="309"/>
    </row>
    <row r="33" spans="1:6" ht="14.25" customHeight="1">
      <c r="A33" s="173"/>
      <c r="B33" s="174"/>
      <c r="C33" s="174"/>
      <c r="D33" s="174"/>
      <c r="E33" s="176"/>
      <c r="F33" s="312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1000"/>
  <sheetViews>
    <sheetView topLeftCell="A16" workbookViewId="0">
      <selection activeCell="B26" sqref="B26"/>
    </sheetView>
  </sheetViews>
  <sheetFormatPr defaultColWidth="14.42578125" defaultRowHeight="15" customHeight="1"/>
  <cols>
    <col min="1" max="1" width="20.7109375" customWidth="1"/>
    <col min="2" max="5" width="8.7109375" customWidth="1"/>
    <col min="6" max="6" width="12" bestFit="1" customWidth="1"/>
    <col min="7" max="26" width="8.7109375" customWidth="1"/>
  </cols>
  <sheetData>
    <row r="1" spans="1:9" ht="14.25" customHeight="1">
      <c r="A1" s="429" t="s">
        <v>183</v>
      </c>
      <c r="B1" s="423"/>
      <c r="C1" s="423"/>
      <c r="D1" s="423"/>
      <c r="E1" s="423"/>
      <c r="F1" s="423"/>
    </row>
    <row r="2" spans="1:9" ht="14.25" customHeight="1">
      <c r="A2" s="429" t="s">
        <v>184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04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05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06" t="s">
        <v>156</v>
      </c>
      <c r="G7">
        <f>1.82/1000</f>
        <v>1.82E-3</v>
      </c>
      <c r="I7" s="378">
        <f>0.035*52</f>
        <v>1.8200000000000003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07" t="s">
        <v>35</v>
      </c>
      <c r="G8">
        <v>10</v>
      </c>
    </row>
    <row r="9" spans="1:9" ht="24.75" customHeight="1">
      <c r="A9" s="158" t="s">
        <v>157</v>
      </c>
      <c r="B9" s="159">
        <v>2</v>
      </c>
      <c r="C9" s="160">
        <v>2</v>
      </c>
      <c r="D9" s="160">
        <v>0</v>
      </c>
      <c r="E9" s="160">
        <v>0</v>
      </c>
      <c r="F9" s="352">
        <f>G9*$G$7</f>
        <v>118.4547</v>
      </c>
      <c r="G9" s="280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60">
        <v>0</v>
      </c>
      <c r="E10" s="160">
        <v>0</v>
      </c>
      <c r="F10" s="352">
        <f t="shared" ref="F10:F25" si="0">G10*$G$7</f>
        <v>194.78185999999999</v>
      </c>
      <c r="G10" s="280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60">
        <v>0</v>
      </c>
      <c r="E11" s="160">
        <v>0</v>
      </c>
      <c r="F11" s="352">
        <f t="shared" si="0"/>
        <v>213.30036000000001</v>
      </c>
      <c r="G11" s="280">
        <v>117198</v>
      </c>
    </row>
    <row r="12" spans="1:9" ht="24.75" customHeight="1">
      <c r="A12" s="158" t="s">
        <v>160</v>
      </c>
      <c r="B12" s="159">
        <v>0</v>
      </c>
      <c r="C12" s="160">
        <v>0</v>
      </c>
      <c r="D12" s="160">
        <v>0</v>
      </c>
      <c r="E12" s="160">
        <v>0</v>
      </c>
      <c r="F12" s="352">
        <f t="shared" si="0"/>
        <v>212.02271999999999</v>
      </c>
      <c r="G12" s="280">
        <v>116496</v>
      </c>
    </row>
    <row r="13" spans="1:9" ht="24.75" customHeight="1">
      <c r="A13" s="158" t="s">
        <v>161</v>
      </c>
      <c r="B13" s="159">
        <v>0</v>
      </c>
      <c r="C13" s="160">
        <v>0</v>
      </c>
      <c r="D13" s="160">
        <v>0</v>
      </c>
      <c r="E13" s="160">
        <v>0</v>
      </c>
      <c r="F13" s="352">
        <f t="shared" si="0"/>
        <v>131.05456000000001</v>
      </c>
      <c r="G13" s="280">
        <v>72008</v>
      </c>
    </row>
    <row r="14" spans="1:9" ht="24.75" customHeight="1">
      <c r="A14" s="158" t="s">
        <v>162</v>
      </c>
      <c r="B14" s="159">
        <v>0</v>
      </c>
      <c r="C14" s="160">
        <v>0</v>
      </c>
      <c r="D14" s="160">
        <v>0</v>
      </c>
      <c r="E14" s="160">
        <v>0</v>
      </c>
      <c r="F14" s="352">
        <f t="shared" si="0"/>
        <v>144.8083</v>
      </c>
      <c r="G14" s="280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60">
        <v>0</v>
      </c>
      <c r="E15" s="160">
        <v>0</v>
      </c>
      <c r="F15" s="352">
        <f t="shared" si="0"/>
        <v>296.65454</v>
      </c>
      <c r="G15" s="280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60">
        <v>0</v>
      </c>
      <c r="E16" s="160">
        <v>0</v>
      </c>
      <c r="F16" s="352">
        <f t="shared" si="0"/>
        <v>267.23788000000002</v>
      </c>
      <c r="G16" s="280">
        <v>146834</v>
      </c>
    </row>
    <row r="17" spans="1:7" ht="24.75" customHeight="1">
      <c r="A17" s="158" t="s">
        <v>165</v>
      </c>
      <c r="B17" s="159">
        <v>0</v>
      </c>
      <c r="C17" s="160">
        <v>0</v>
      </c>
      <c r="D17" s="160">
        <v>0</v>
      </c>
      <c r="E17" s="160">
        <v>0</v>
      </c>
      <c r="F17" s="352">
        <f t="shared" si="0"/>
        <v>241.18639999999999</v>
      </c>
      <c r="G17" s="280">
        <v>132520</v>
      </c>
    </row>
    <row r="18" spans="1:7" ht="24.75" customHeight="1">
      <c r="A18" s="158" t="s">
        <v>166</v>
      </c>
      <c r="B18" s="159">
        <v>0</v>
      </c>
      <c r="C18" s="160">
        <v>0</v>
      </c>
      <c r="D18" s="160">
        <v>0</v>
      </c>
      <c r="E18" s="160">
        <v>0</v>
      </c>
      <c r="F18" s="352">
        <f t="shared" si="0"/>
        <v>261.02803999999998</v>
      </c>
      <c r="G18" s="280">
        <v>143422</v>
      </c>
    </row>
    <row r="19" spans="1:7" ht="24.75" customHeight="1">
      <c r="A19" s="158" t="s">
        <v>167</v>
      </c>
      <c r="B19" s="159">
        <v>0</v>
      </c>
      <c r="C19" s="160">
        <v>0</v>
      </c>
      <c r="D19" s="160">
        <v>0</v>
      </c>
      <c r="E19" s="160">
        <v>0</v>
      </c>
      <c r="F19" s="352">
        <f t="shared" si="0"/>
        <v>197.85947999999999</v>
      </c>
      <c r="G19" s="280">
        <v>108714</v>
      </c>
    </row>
    <row r="20" spans="1:7" ht="24.75" customHeight="1">
      <c r="A20" s="158" t="s">
        <v>168</v>
      </c>
      <c r="B20" s="159">
        <v>0</v>
      </c>
      <c r="C20" s="160">
        <v>0</v>
      </c>
      <c r="D20" s="160">
        <v>0</v>
      </c>
      <c r="E20" s="160">
        <v>0</v>
      </c>
      <c r="F20" s="352">
        <f t="shared" si="0"/>
        <v>127.19616000000001</v>
      </c>
      <c r="G20" s="280">
        <v>69888</v>
      </c>
    </row>
    <row r="21" spans="1:7" ht="24.75" customHeight="1">
      <c r="A21" s="158" t="s">
        <v>169</v>
      </c>
      <c r="B21" s="159">
        <v>0</v>
      </c>
      <c r="C21" s="160">
        <v>0</v>
      </c>
      <c r="D21" s="160">
        <v>0</v>
      </c>
      <c r="E21" s="160">
        <v>0</v>
      </c>
      <c r="F21" s="352">
        <f t="shared" si="0"/>
        <v>339.50098000000003</v>
      </c>
      <c r="G21" s="280">
        <v>186539</v>
      </c>
    </row>
    <row r="22" spans="1:7" ht="24.75" customHeight="1">
      <c r="A22" s="158" t="s">
        <v>170</v>
      </c>
      <c r="B22" s="159">
        <v>0</v>
      </c>
      <c r="C22" s="160">
        <v>0</v>
      </c>
      <c r="D22" s="160">
        <v>0</v>
      </c>
      <c r="E22" s="160">
        <v>0</v>
      </c>
      <c r="F22" s="352">
        <f t="shared" si="0"/>
        <v>304.90278000000001</v>
      </c>
      <c r="G22" s="280">
        <v>167529</v>
      </c>
    </row>
    <row r="23" spans="1:7" ht="24.75" customHeight="1">
      <c r="A23" s="158" t="s">
        <v>171</v>
      </c>
      <c r="B23" s="159">
        <v>0</v>
      </c>
      <c r="C23" s="160">
        <v>0</v>
      </c>
      <c r="D23" s="160">
        <v>0</v>
      </c>
      <c r="E23" s="160">
        <v>0</v>
      </c>
      <c r="F23" s="352">
        <f t="shared" si="0"/>
        <v>164.01293999999999</v>
      </c>
      <c r="G23" s="280">
        <v>90117</v>
      </c>
    </row>
    <row r="24" spans="1:7" ht="24.75" customHeight="1">
      <c r="A24" s="158" t="s">
        <v>172</v>
      </c>
      <c r="B24" s="159">
        <v>0</v>
      </c>
      <c r="C24" s="160">
        <v>0</v>
      </c>
      <c r="D24" s="160">
        <v>0</v>
      </c>
      <c r="E24" s="160">
        <v>0</v>
      </c>
      <c r="F24" s="352">
        <f t="shared" si="0"/>
        <v>159.97618</v>
      </c>
      <c r="G24" s="280">
        <v>87899</v>
      </c>
    </row>
    <row r="25" spans="1:7" ht="24.75" customHeight="1">
      <c r="A25" s="182" t="s">
        <v>173</v>
      </c>
      <c r="B25" s="183">
        <v>0</v>
      </c>
      <c r="C25" s="184">
        <v>0</v>
      </c>
      <c r="D25" s="160">
        <v>0</v>
      </c>
      <c r="E25" s="160">
        <v>0</v>
      </c>
      <c r="F25" s="352">
        <f t="shared" si="0"/>
        <v>344.42225999999999</v>
      </c>
      <c r="G25" s="280">
        <v>189243</v>
      </c>
    </row>
    <row r="26" spans="1:7" ht="24.75" customHeight="1">
      <c r="A26" s="12">
        <v>2025</v>
      </c>
      <c r="B26" s="186">
        <f>SUM(B9:B25)</f>
        <v>2</v>
      </c>
      <c r="C26" s="186">
        <f t="shared" ref="C26:F26" si="1">SUM(C9:C25)</f>
        <v>2</v>
      </c>
      <c r="D26" s="186">
        <f t="shared" si="1"/>
        <v>0</v>
      </c>
      <c r="E26" s="186">
        <f t="shared" si="1"/>
        <v>0</v>
      </c>
      <c r="F26" s="186">
        <f t="shared" si="1"/>
        <v>3718.4001400000006</v>
      </c>
    </row>
    <row r="27" spans="1:7" ht="24.75" customHeight="1">
      <c r="A27" s="12">
        <f t="shared" ref="A27:A30" si="2">A26-1</f>
        <v>2024</v>
      </c>
      <c r="B27" s="167">
        <v>41</v>
      </c>
      <c r="C27" s="167">
        <v>41</v>
      </c>
      <c r="D27" s="167">
        <v>377.9</v>
      </c>
      <c r="E27" s="187">
        <v>92.170731707317074</v>
      </c>
      <c r="F27" s="310">
        <v>6124.8866639999997</v>
      </c>
    </row>
    <row r="28" spans="1:7" ht="24.75" customHeight="1">
      <c r="A28" s="12">
        <f t="shared" si="2"/>
        <v>2023</v>
      </c>
      <c r="B28" s="169">
        <v>30.27</v>
      </c>
      <c r="C28" s="169">
        <v>32.32</v>
      </c>
      <c r="D28" s="169">
        <v>458.28000000000009</v>
      </c>
      <c r="E28" s="170">
        <v>121.86848567530697</v>
      </c>
      <c r="F28" s="311">
        <v>4473.9149016000001</v>
      </c>
    </row>
    <row r="29" spans="1:7" ht="24.75" customHeight="1">
      <c r="A29" s="12">
        <f t="shared" si="2"/>
        <v>2022</v>
      </c>
      <c r="B29" s="169">
        <v>5</v>
      </c>
      <c r="C29" s="169">
        <v>31.5</v>
      </c>
      <c r="D29" s="169">
        <v>80.788000000000011</v>
      </c>
      <c r="E29" s="170">
        <v>25.64698412698413</v>
      </c>
      <c r="F29" s="311">
        <v>2423.1060000000007</v>
      </c>
    </row>
    <row r="30" spans="1:7" ht="24.75" customHeight="1">
      <c r="A30" s="12">
        <f t="shared" si="2"/>
        <v>2021</v>
      </c>
      <c r="B30" s="169">
        <v>42.9</v>
      </c>
      <c r="C30" s="169">
        <v>37.4</v>
      </c>
      <c r="D30" s="169">
        <v>769</v>
      </c>
      <c r="E30" s="170">
        <v>205.61497326203209</v>
      </c>
      <c r="F30" s="311">
        <v>2405.1419866800002</v>
      </c>
    </row>
    <row r="31" spans="1:7" ht="24.75" customHeight="1">
      <c r="A31" s="172"/>
      <c r="B31" s="169"/>
      <c r="C31" s="169"/>
      <c r="D31" s="169"/>
      <c r="E31" s="170"/>
      <c r="F31" s="311"/>
    </row>
    <row r="32" spans="1:7" ht="24.75" customHeight="1">
      <c r="A32" s="158"/>
      <c r="B32" s="159"/>
      <c r="C32" s="159"/>
      <c r="D32" s="159"/>
      <c r="E32" s="161"/>
      <c r="F32" s="309"/>
    </row>
    <row r="33" spans="1:6" ht="24.75" customHeight="1">
      <c r="A33" s="173"/>
      <c r="B33" s="174"/>
      <c r="C33" s="174"/>
      <c r="D33" s="174"/>
      <c r="E33" s="176"/>
      <c r="F33" s="312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topLeftCell="A4" workbookViewId="0">
      <selection activeCell="C21" sqref="C21"/>
    </sheetView>
  </sheetViews>
  <sheetFormatPr defaultColWidth="14.42578125" defaultRowHeight="15" customHeight="1"/>
  <cols>
    <col min="1" max="1" width="18.28515625" customWidth="1"/>
    <col min="2" max="2" width="15" customWidth="1"/>
    <col min="3" max="3" width="13" customWidth="1"/>
    <col min="4" max="4" width="16.42578125" customWidth="1"/>
    <col min="5" max="5" width="14.28515625" customWidth="1"/>
    <col min="6" max="6" width="19.28515625" customWidth="1"/>
    <col min="7" max="7" width="16" customWidth="1"/>
    <col min="9" max="9" width="8.7109375" customWidth="1"/>
    <col min="10" max="10" width="14.28515625" customWidth="1"/>
    <col min="11" max="11" width="14.140625" customWidth="1"/>
    <col min="12" max="26" width="8.7109375" customWidth="1"/>
  </cols>
  <sheetData>
    <row r="1" spans="1:11" ht="14.25" customHeight="1">
      <c r="A1" s="412" t="s">
        <v>49</v>
      </c>
      <c r="B1" s="411"/>
      <c r="C1" s="411"/>
      <c r="D1" s="411"/>
      <c r="E1" s="411"/>
      <c r="F1" s="411"/>
      <c r="G1" s="411"/>
      <c r="H1" s="411"/>
    </row>
    <row r="2" spans="1:11" ht="14.25" customHeight="1">
      <c r="A2" s="412" t="s">
        <v>28</v>
      </c>
      <c r="B2" s="411"/>
      <c r="C2" s="411"/>
      <c r="D2" s="411"/>
      <c r="E2" s="411"/>
      <c r="F2" s="411"/>
      <c r="G2" s="411"/>
      <c r="H2" s="411"/>
    </row>
    <row r="3" spans="1:11" ht="14.25" customHeight="1">
      <c r="A3" s="412" t="s">
        <v>50</v>
      </c>
      <c r="B3" s="411"/>
      <c r="C3" s="411"/>
      <c r="D3" s="411"/>
      <c r="E3" s="411"/>
      <c r="F3" s="411"/>
      <c r="G3" s="411"/>
      <c r="H3" s="411"/>
    </row>
    <row r="4" spans="1:11" ht="14.25" customHeight="1">
      <c r="A4" s="412" t="s">
        <v>30</v>
      </c>
      <c r="B4" s="411"/>
      <c r="C4" s="411"/>
      <c r="D4" s="411"/>
      <c r="E4" s="411"/>
      <c r="F4" s="411"/>
      <c r="G4" s="411"/>
      <c r="H4" s="411"/>
    </row>
    <row r="5" spans="1:11" ht="14.25" customHeight="1">
      <c r="A5" s="16"/>
      <c r="B5" s="16"/>
      <c r="C5" s="16"/>
      <c r="D5" s="16"/>
      <c r="E5" s="16"/>
      <c r="F5" s="16"/>
      <c r="G5" s="16"/>
      <c r="H5" s="17"/>
    </row>
    <row r="6" spans="1:11" ht="14.25" customHeight="1">
      <c r="A6" s="415" t="s">
        <v>31</v>
      </c>
      <c r="B6" s="416" t="s">
        <v>32</v>
      </c>
      <c r="C6" s="415" t="s">
        <v>4</v>
      </c>
      <c r="D6" s="415" t="s">
        <v>5</v>
      </c>
      <c r="E6" s="415" t="s">
        <v>6</v>
      </c>
      <c r="F6" s="415" t="s">
        <v>33</v>
      </c>
      <c r="G6" s="415" t="s">
        <v>34</v>
      </c>
      <c r="H6" s="18"/>
      <c r="K6" s="23"/>
    </row>
    <row r="7" spans="1:11" ht="14.25" customHeight="1">
      <c r="A7" s="409"/>
      <c r="B7" s="409"/>
      <c r="C7" s="409"/>
      <c r="D7" s="409"/>
      <c r="E7" s="409"/>
      <c r="F7" s="409"/>
      <c r="G7" s="409"/>
      <c r="H7" s="18"/>
      <c r="K7" s="24"/>
    </row>
    <row r="8" spans="1:11" ht="14.25" customHeight="1">
      <c r="A8" s="191" t="s">
        <v>8</v>
      </c>
      <c r="B8" s="191" t="s">
        <v>9</v>
      </c>
      <c r="C8" s="191" t="s">
        <v>10</v>
      </c>
      <c r="D8" s="191" t="s">
        <v>11</v>
      </c>
      <c r="E8" s="19" t="s">
        <v>12</v>
      </c>
      <c r="F8" s="19" t="s">
        <v>35</v>
      </c>
      <c r="G8" s="19" t="s">
        <v>36</v>
      </c>
      <c r="H8" s="18"/>
    </row>
    <row r="9" spans="1:11" ht="14.25" customHeight="1">
      <c r="A9" s="243" t="s">
        <v>37</v>
      </c>
      <c r="B9" s="193">
        <v>6796</v>
      </c>
      <c r="C9" s="249">
        <v>47843.4</v>
      </c>
      <c r="D9" s="240">
        <f>C9*0.89</f>
        <v>42580.626000000004</v>
      </c>
      <c r="E9" s="245">
        <v>7530.3289275528196</v>
      </c>
      <c r="F9" s="9">
        <f t="shared" ref="F9:F20" si="0">D9-E9</f>
        <v>35050.297072447182</v>
      </c>
      <c r="G9" s="242">
        <f>F9</f>
        <v>35050.297072447182</v>
      </c>
      <c r="H9" s="18"/>
    </row>
    <row r="10" spans="1:11" ht="14.25" customHeight="1">
      <c r="A10" s="243" t="s">
        <v>38</v>
      </c>
      <c r="B10" s="193">
        <v>3140</v>
      </c>
      <c r="C10" s="249">
        <v>21824.47</v>
      </c>
      <c r="D10" s="240">
        <f t="shared" ref="D10:D20" si="1">C10*0.89</f>
        <v>19423.778300000002</v>
      </c>
      <c r="E10" s="245">
        <v>3463.4503206368486</v>
      </c>
      <c r="F10" s="9">
        <f t="shared" si="0"/>
        <v>15960.327979363154</v>
      </c>
      <c r="G10" s="242">
        <f t="shared" ref="G10:G20" si="2">G9+F10</f>
        <v>51010.625051810333</v>
      </c>
      <c r="H10" s="18"/>
      <c r="K10" s="23"/>
    </row>
    <row r="11" spans="1:11" ht="14.25" customHeight="1">
      <c r="A11" s="243" t="s">
        <v>39</v>
      </c>
      <c r="B11" s="193">
        <v>1230</v>
      </c>
      <c r="C11" s="249">
        <v>8767.7200000000012</v>
      </c>
      <c r="D11" s="240">
        <f t="shared" si="1"/>
        <v>7803.2708000000011</v>
      </c>
      <c r="E11" s="245">
        <v>1442.4955460913764</v>
      </c>
      <c r="F11" s="9">
        <f t="shared" si="0"/>
        <v>6360.775253908625</v>
      </c>
      <c r="G11" s="242">
        <f t="shared" si="2"/>
        <v>57371.400305718955</v>
      </c>
      <c r="H11" s="18"/>
    </row>
    <row r="12" spans="1:11" ht="14.25" customHeight="1">
      <c r="A12" s="243" t="s">
        <v>40</v>
      </c>
      <c r="B12" s="193">
        <v>567</v>
      </c>
      <c r="C12" s="249">
        <v>3936.7000000000003</v>
      </c>
      <c r="D12" s="240">
        <f t="shared" si="1"/>
        <v>3503.6630000000005</v>
      </c>
      <c r="E12" s="245">
        <v>669.91846946887392</v>
      </c>
      <c r="F12" s="9">
        <f t="shared" si="0"/>
        <v>2833.7445305311267</v>
      </c>
      <c r="G12" s="242">
        <f t="shared" si="2"/>
        <v>60205.144836250081</v>
      </c>
      <c r="H12" s="18"/>
    </row>
    <row r="13" spans="1:11" ht="14.25" customHeight="1">
      <c r="A13" s="243" t="s">
        <v>41</v>
      </c>
      <c r="B13" s="195">
        <v>4952</v>
      </c>
      <c r="C13" s="249">
        <v>34800.200000000004</v>
      </c>
      <c r="D13" s="240">
        <f t="shared" si="1"/>
        <v>30972.178000000004</v>
      </c>
      <c r="E13" s="245">
        <v>5443.6898017672156</v>
      </c>
      <c r="F13" s="9">
        <f t="shared" si="0"/>
        <v>25528.488198232786</v>
      </c>
      <c r="G13" s="242">
        <f t="shared" si="2"/>
        <v>85733.63303448286</v>
      </c>
      <c r="H13" s="18"/>
    </row>
    <row r="14" spans="1:11" ht="14.25" customHeight="1">
      <c r="A14" s="243" t="s">
        <v>42</v>
      </c>
      <c r="B14" s="195">
        <v>2494</v>
      </c>
      <c r="C14" s="249">
        <v>16539</v>
      </c>
      <c r="D14" s="240">
        <f t="shared" si="1"/>
        <v>14719.710000000001</v>
      </c>
      <c r="E14" s="245">
        <v>2602.4987193222737</v>
      </c>
      <c r="F14" s="9">
        <f t="shared" si="0"/>
        <v>12117.211280677728</v>
      </c>
      <c r="G14" s="242">
        <f t="shared" si="2"/>
        <v>97850.84431516059</v>
      </c>
      <c r="H14" s="18"/>
    </row>
    <row r="15" spans="1:11" ht="14.25" customHeight="1">
      <c r="A15" s="243" t="s">
        <v>43</v>
      </c>
      <c r="B15" s="195">
        <v>1367</v>
      </c>
      <c r="C15" s="249">
        <v>9587.8599999999988</v>
      </c>
      <c r="D15" s="240">
        <f t="shared" si="1"/>
        <v>8533.1953999999987</v>
      </c>
      <c r="E15" s="245">
        <v>1531.6029421154963</v>
      </c>
      <c r="F15" s="9">
        <f t="shared" si="0"/>
        <v>7001.5924578845024</v>
      </c>
      <c r="G15" s="242">
        <f t="shared" si="2"/>
        <v>104852.43677304509</v>
      </c>
      <c r="H15" s="18"/>
    </row>
    <row r="16" spans="1:11" ht="14.25" customHeight="1">
      <c r="A16" s="243" t="s">
        <v>44</v>
      </c>
      <c r="B16" s="195">
        <v>596</v>
      </c>
      <c r="C16" s="249">
        <v>3979.6</v>
      </c>
      <c r="D16" s="240">
        <f t="shared" si="1"/>
        <v>3541.8440000000001</v>
      </c>
      <c r="E16" s="245">
        <v>653.07696993241643</v>
      </c>
      <c r="F16" s="9">
        <f t="shared" si="0"/>
        <v>2888.7670300675836</v>
      </c>
      <c r="G16" s="242">
        <f t="shared" si="2"/>
        <v>107741.20380311267</v>
      </c>
      <c r="H16" s="18"/>
    </row>
    <row r="17" spans="1:11" ht="14.25" customHeight="1">
      <c r="A17" s="243" t="s">
        <v>45</v>
      </c>
      <c r="B17" s="195">
        <v>796</v>
      </c>
      <c r="C17" s="249">
        <v>5556.7599999999993</v>
      </c>
      <c r="D17" s="240">
        <f t="shared" si="1"/>
        <v>4945.5163999999995</v>
      </c>
      <c r="E17" s="245">
        <v>892.52176305635408</v>
      </c>
      <c r="F17" s="9">
        <f t="shared" si="0"/>
        <v>4052.9946369436457</v>
      </c>
      <c r="G17" s="242">
        <f t="shared" si="2"/>
        <v>111794.19844005632</v>
      </c>
      <c r="H17" s="18"/>
    </row>
    <row r="18" spans="1:11" ht="14.25" customHeight="1">
      <c r="A18" s="243" t="s">
        <v>46</v>
      </c>
      <c r="B18" s="195">
        <v>1908</v>
      </c>
      <c r="C18" s="249">
        <v>13461.86</v>
      </c>
      <c r="D18" s="240">
        <f t="shared" si="1"/>
        <v>11981.055400000001</v>
      </c>
      <c r="E18" s="245">
        <v>2235.3263564074964</v>
      </c>
      <c r="F18" s="9">
        <f t="shared" si="0"/>
        <v>9745.7290435925042</v>
      </c>
      <c r="G18" s="242">
        <f t="shared" si="2"/>
        <v>121539.92748364883</v>
      </c>
      <c r="H18" s="18"/>
    </row>
    <row r="19" spans="1:11" ht="14.25" customHeight="1">
      <c r="A19" s="243" t="s">
        <v>47</v>
      </c>
      <c r="B19" s="195">
        <v>1788</v>
      </c>
      <c r="C19" s="249">
        <v>15903.8</v>
      </c>
      <c r="D19" s="240">
        <f t="shared" si="1"/>
        <v>14154.382</v>
      </c>
      <c r="E19" s="245">
        <v>2532.7033499602735</v>
      </c>
      <c r="F19" s="9">
        <f t="shared" si="0"/>
        <v>11621.678650039727</v>
      </c>
      <c r="G19" s="242">
        <f t="shared" si="2"/>
        <v>133161.60613368856</v>
      </c>
      <c r="H19" s="18"/>
      <c r="K19" s="23"/>
    </row>
    <row r="20" spans="1:11" ht="14.25" customHeight="1">
      <c r="A20" s="243" t="s">
        <v>48</v>
      </c>
      <c r="B20" s="195">
        <v>835</v>
      </c>
      <c r="C20" s="249">
        <v>7245.4</v>
      </c>
      <c r="D20" s="240">
        <f t="shared" si="1"/>
        <v>6448.4059999999999</v>
      </c>
      <c r="E20" s="245">
        <v>1154.6437273756164</v>
      </c>
      <c r="F20" s="9">
        <f t="shared" si="0"/>
        <v>5293.7622726243835</v>
      </c>
      <c r="G20" s="242">
        <f t="shared" si="2"/>
        <v>138455.36840631295</v>
      </c>
      <c r="H20" s="18"/>
      <c r="K20" s="23"/>
    </row>
    <row r="21" spans="1:11" ht="14.25" customHeight="1">
      <c r="A21" s="244">
        <v>2025</v>
      </c>
      <c r="B21" s="248">
        <f>SUM(B9:B20)</f>
        <v>26469</v>
      </c>
      <c r="C21" s="248">
        <f t="shared" ref="C21:E21" si="3">SUM(C9:C20)</f>
        <v>189446.77</v>
      </c>
      <c r="D21" s="248">
        <f t="shared" si="3"/>
        <v>168607.62530000001</v>
      </c>
      <c r="E21" s="248">
        <f t="shared" si="3"/>
        <v>30152.256893687056</v>
      </c>
      <c r="F21" s="248">
        <f>SUM(F9:F20)</f>
        <v>138455.36840631295</v>
      </c>
      <c r="G21" s="248">
        <f>SUM(G9:G20)</f>
        <v>1104766.6856557345</v>
      </c>
      <c r="H21" s="18"/>
      <c r="K21" s="23"/>
    </row>
    <row r="22" spans="1:11" ht="14.25" customHeight="1">
      <c r="A22" s="12">
        <f t="shared" ref="A22:A25" si="4">A21-1</f>
        <v>2024</v>
      </c>
      <c r="B22" s="246">
        <v>27092.5</v>
      </c>
      <c r="C22" s="247">
        <v>195056.83000000002</v>
      </c>
      <c r="D22" s="192">
        <v>173600.57870000001</v>
      </c>
      <c r="E22" s="25">
        <v>79.569999999999979</v>
      </c>
      <c r="F22" s="38">
        <v>173521.00870000001</v>
      </c>
      <c r="G22" s="36">
        <v>173521.00870000001</v>
      </c>
      <c r="H22" s="18"/>
      <c r="K22" s="23"/>
    </row>
    <row r="23" spans="1:11" ht="14.25" customHeight="1">
      <c r="A23" s="12">
        <f t="shared" si="4"/>
        <v>2023</v>
      </c>
      <c r="B23" s="39">
        <v>27229.760000000002</v>
      </c>
      <c r="C23" s="25">
        <v>199776.81296923076</v>
      </c>
      <c r="D23" s="25">
        <v>177801.36354261541</v>
      </c>
      <c r="E23" s="25">
        <v>744</v>
      </c>
      <c r="F23" s="25">
        <v>177057.36354261541</v>
      </c>
      <c r="G23" s="26">
        <v>177057.36354261541</v>
      </c>
      <c r="H23" s="18"/>
      <c r="K23" s="23"/>
    </row>
    <row r="24" spans="1:11" ht="14.25" customHeight="1">
      <c r="A24" s="12">
        <f t="shared" si="4"/>
        <v>2022</v>
      </c>
      <c r="B24" s="40">
        <v>28865.3</v>
      </c>
      <c r="C24" s="13">
        <v>193767.99200000003</v>
      </c>
      <c r="D24" s="13">
        <v>172453.51288000002</v>
      </c>
      <c r="E24" s="13">
        <v>1584</v>
      </c>
      <c r="F24" s="13">
        <v>170869.51288000002</v>
      </c>
      <c r="G24" s="13">
        <v>170869.51288000002</v>
      </c>
      <c r="H24" s="18"/>
      <c r="J24" s="30"/>
      <c r="K24" s="23"/>
    </row>
    <row r="25" spans="1:11" ht="14.25" customHeight="1">
      <c r="A25" s="12">
        <f t="shared" si="4"/>
        <v>2021</v>
      </c>
      <c r="B25" s="40">
        <v>31605.5</v>
      </c>
      <c r="C25" s="13">
        <v>187014.62572727277</v>
      </c>
      <c r="D25" s="13">
        <v>166443.01689727273</v>
      </c>
      <c r="E25" s="32">
        <v>2946.2989336829992</v>
      </c>
      <c r="F25" s="13">
        <v>163496.71796358976</v>
      </c>
      <c r="G25" s="13">
        <v>163496.71796358976</v>
      </c>
      <c r="H25" s="18"/>
    </row>
    <row r="26" spans="1:11" ht="14.25" customHeight="1">
      <c r="A26" s="33"/>
      <c r="B26" s="40"/>
      <c r="C26" s="13"/>
      <c r="D26" s="13"/>
      <c r="E26" s="32"/>
      <c r="F26" s="13"/>
      <c r="G26" s="13"/>
      <c r="H26" s="18"/>
    </row>
    <row r="27" spans="1:11" ht="14.25" customHeight="1">
      <c r="A27" s="18"/>
      <c r="B27" s="18"/>
      <c r="C27" s="18"/>
      <c r="D27" s="18"/>
      <c r="E27" s="18"/>
      <c r="F27" s="18"/>
      <c r="G27" s="18"/>
      <c r="H27" s="18"/>
    </row>
    <row r="28" spans="1:11" ht="14.25" customHeight="1">
      <c r="A28" s="18"/>
      <c r="B28" s="18"/>
      <c r="C28" s="18"/>
      <c r="D28" s="18"/>
      <c r="E28" s="18"/>
      <c r="F28" s="18"/>
      <c r="G28" s="18"/>
      <c r="H28" s="18"/>
    </row>
    <row r="29" spans="1:11" ht="14.25" customHeight="1">
      <c r="A29" s="414"/>
      <c r="B29" s="411"/>
      <c r="C29" s="411"/>
      <c r="D29" s="411"/>
      <c r="E29" s="411"/>
      <c r="F29" s="411"/>
      <c r="G29" s="411"/>
      <c r="H29" s="411"/>
    </row>
    <row r="30" spans="1:11" ht="14.25" customHeight="1">
      <c r="A30" s="34" t="s">
        <v>27</v>
      </c>
      <c r="B30" s="34"/>
      <c r="C30" s="34"/>
      <c r="D30" s="34"/>
      <c r="E30" s="18"/>
      <c r="F30" s="18"/>
      <c r="G30" s="18"/>
      <c r="H30" s="18"/>
    </row>
    <row r="31" spans="1:11" ht="14.25" customHeight="1"/>
    <row r="32" spans="1:11" ht="14.25" customHeight="1"/>
    <row r="33" spans="2:14" ht="14.25" customHeight="1">
      <c r="B33" s="200">
        <f t="shared" ref="B33:M33" si="5">SUM(B16:B32)</f>
        <v>147185.06</v>
      </c>
      <c r="C33" s="200">
        <f t="shared" si="5"/>
        <v>1011210.4506965037</v>
      </c>
      <c r="D33" s="200">
        <f t="shared" si="5"/>
        <v>899977.3011198882</v>
      </c>
      <c r="E33" s="200">
        <f t="shared" si="5"/>
        <v>42974.397994102212</v>
      </c>
      <c r="F33" s="200">
        <f t="shared" si="5"/>
        <v>857002.90312578599</v>
      </c>
      <c r="G33" s="200">
        <f t="shared" si="5"/>
        <v>2402403.593008759</v>
      </c>
      <c r="H33" s="200">
        <f t="shared" si="5"/>
        <v>0</v>
      </c>
      <c r="I33" s="200">
        <f t="shared" si="5"/>
        <v>0</v>
      </c>
      <c r="J33" s="200">
        <f t="shared" si="5"/>
        <v>0</v>
      </c>
      <c r="K33" s="200">
        <f t="shared" si="5"/>
        <v>0</v>
      </c>
      <c r="L33" s="200">
        <f t="shared" si="5"/>
        <v>0</v>
      </c>
      <c r="M33" s="200">
        <f t="shared" si="5"/>
        <v>0</v>
      </c>
      <c r="N33" s="201">
        <f t="shared" ref="N33" si="6">SUM(B33:M33)</f>
        <v>5360753.7059450392</v>
      </c>
    </row>
    <row r="34" spans="2:14" ht="14.25" customHeight="1"/>
    <row r="35" spans="2:14" ht="14.25" customHeight="1"/>
    <row r="36" spans="2:14" ht="14.25" customHeight="1"/>
    <row r="37" spans="2:14" ht="14.25" customHeight="1"/>
    <row r="38" spans="2:14" ht="14.25" customHeight="1"/>
    <row r="39" spans="2:14" ht="14.25" customHeight="1"/>
    <row r="40" spans="2:14" ht="14.25" customHeight="1"/>
    <row r="41" spans="2:14" ht="14.25" customHeight="1"/>
    <row r="42" spans="2:14" ht="14.25" customHeight="1"/>
    <row r="43" spans="2:14" ht="14.25" customHeight="1"/>
    <row r="44" spans="2:14" ht="14.25" customHeight="1"/>
    <row r="45" spans="2:14" ht="14.25" customHeight="1"/>
    <row r="46" spans="2:14" ht="14.25" customHeight="1"/>
    <row r="47" spans="2:14" ht="14.25" customHeight="1"/>
    <row r="48" spans="2:1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29:H29"/>
    <mergeCell ref="D6:D7"/>
    <mergeCell ref="E6:E7"/>
    <mergeCell ref="F6:F7"/>
    <mergeCell ref="G6:G7"/>
    <mergeCell ref="A1:H1"/>
    <mergeCell ref="A2:H2"/>
    <mergeCell ref="A3:H3"/>
    <mergeCell ref="A4:H4"/>
    <mergeCell ref="A6:A7"/>
    <mergeCell ref="B6:B7"/>
    <mergeCell ref="C6:C7"/>
  </mergeCells>
  <pageMargins left="0.7" right="0.7" top="0.75" bottom="0.75" header="0" footer="0"/>
  <pageSetup paperSize="9" scale="7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1000"/>
  <sheetViews>
    <sheetView topLeftCell="A19" workbookViewId="0">
      <selection activeCell="I26" sqref="I26:M26"/>
    </sheetView>
  </sheetViews>
  <sheetFormatPr defaultColWidth="14.42578125" defaultRowHeight="15" customHeight="1"/>
  <cols>
    <col min="1" max="1" width="19.28515625" customWidth="1"/>
    <col min="2" max="5" width="8.7109375" customWidth="1"/>
    <col min="6" max="6" width="12" bestFit="1" customWidth="1"/>
    <col min="7" max="7" width="8.7109375" customWidth="1"/>
    <col min="8" max="8" width="12" bestFit="1" customWidth="1"/>
    <col min="9" max="26" width="8.7109375" customWidth="1"/>
  </cols>
  <sheetData>
    <row r="1" spans="1:9" ht="14.25" customHeight="1">
      <c r="A1" s="429" t="s">
        <v>185</v>
      </c>
      <c r="B1" s="423"/>
      <c r="C1" s="423"/>
      <c r="D1" s="423"/>
      <c r="E1" s="423"/>
      <c r="F1" s="423"/>
    </row>
    <row r="2" spans="1:9" ht="14.25" customHeight="1">
      <c r="A2" s="429" t="s">
        <v>186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04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05" t="s">
        <v>178</v>
      </c>
    </row>
    <row r="7" spans="1:9" ht="14.25" customHeigh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06" t="s">
        <v>156</v>
      </c>
    </row>
    <row r="8" spans="1:9" ht="14.25" customHeigh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15" t="s">
        <v>35</v>
      </c>
      <c r="G8" s="280">
        <v>10</v>
      </c>
      <c r="H8" s="314">
        <f>0.156/1000</f>
        <v>1.56E-4</v>
      </c>
      <c r="I8">
        <f>0.003*52</f>
        <v>0.156</v>
      </c>
    </row>
    <row r="9" spans="1:9" ht="24.75" customHeight="1">
      <c r="A9" s="158" t="s">
        <v>157</v>
      </c>
      <c r="B9" s="159">
        <v>0</v>
      </c>
      <c r="C9" s="160">
        <v>0</v>
      </c>
      <c r="D9" s="159">
        <v>0</v>
      </c>
      <c r="E9" s="159">
        <v>0</v>
      </c>
      <c r="F9" s="367">
        <f>G9*$H$8</f>
        <v>10.15326</v>
      </c>
      <c r="G9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59">
        <v>0</v>
      </c>
      <c r="E10" s="159">
        <v>0</v>
      </c>
      <c r="F10" s="367">
        <f t="shared" ref="F10:F25" si="0">G10*$H$8</f>
        <v>16.695588000000001</v>
      </c>
      <c r="G10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367">
        <f t="shared" si="0"/>
        <v>18.282888</v>
      </c>
      <c r="G11">
        <v>117198</v>
      </c>
    </row>
    <row r="12" spans="1:9" ht="24.75" customHeight="1">
      <c r="A12" s="158" t="s">
        <v>160</v>
      </c>
      <c r="B12" s="159">
        <v>0</v>
      </c>
      <c r="C12" s="160">
        <v>0</v>
      </c>
      <c r="D12" s="159">
        <v>0</v>
      </c>
      <c r="E12" s="159">
        <v>0</v>
      </c>
      <c r="F12" s="367">
        <f t="shared" si="0"/>
        <v>18.173376000000001</v>
      </c>
      <c r="G12">
        <v>116496</v>
      </c>
    </row>
    <row r="13" spans="1:9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367">
        <f t="shared" si="0"/>
        <v>11.233248</v>
      </c>
      <c r="G13">
        <v>72008</v>
      </c>
    </row>
    <row r="14" spans="1:9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367">
        <f t="shared" si="0"/>
        <v>12.412139999999999</v>
      </c>
      <c r="G14">
        <v>79565</v>
      </c>
    </row>
    <row r="15" spans="1:9" ht="24.75" customHeight="1">
      <c r="A15" s="158" t="s">
        <v>163</v>
      </c>
      <c r="B15" s="159">
        <v>159</v>
      </c>
      <c r="C15" s="160">
        <v>159</v>
      </c>
      <c r="D15" s="159">
        <v>206.7</v>
      </c>
      <c r="E15" s="302">
        <f>(D15*$G$8)/C15</f>
        <v>13</v>
      </c>
      <c r="F15" s="367">
        <f t="shared" si="0"/>
        <v>25.427531999999999</v>
      </c>
      <c r="G15">
        <v>162997</v>
      </c>
    </row>
    <row r="16" spans="1:9" ht="24.75" customHeight="1">
      <c r="A16" s="158" t="s">
        <v>164</v>
      </c>
      <c r="B16" s="159">
        <v>162</v>
      </c>
      <c r="C16" s="160">
        <v>162</v>
      </c>
      <c r="D16" s="159">
        <v>149.19999999999999</v>
      </c>
      <c r="E16" s="302">
        <f t="shared" ref="E16:E19" si="1">(D16*$G$8)/C16</f>
        <v>9.2098765432098766</v>
      </c>
      <c r="F16" s="367">
        <f t="shared" si="0"/>
        <v>22.906103999999999</v>
      </c>
      <c r="G16">
        <v>146834</v>
      </c>
    </row>
    <row r="17" spans="1:13" ht="24.75" customHeight="1">
      <c r="A17" s="158" t="s">
        <v>165</v>
      </c>
      <c r="B17" s="159">
        <v>1323</v>
      </c>
      <c r="C17" s="160">
        <v>1323</v>
      </c>
      <c r="D17" s="159">
        <v>1829.5400000000002</v>
      </c>
      <c r="E17" s="302">
        <f t="shared" si="1"/>
        <v>13.828722600151172</v>
      </c>
      <c r="F17" s="367">
        <f t="shared" si="0"/>
        <v>20.673120000000001</v>
      </c>
      <c r="G17">
        <v>132520</v>
      </c>
    </row>
    <row r="18" spans="1:13" ht="24.75" customHeight="1">
      <c r="A18" s="158" t="s">
        <v>166</v>
      </c>
      <c r="B18" s="159">
        <v>1451</v>
      </c>
      <c r="C18" s="160">
        <v>1451</v>
      </c>
      <c r="D18" s="159">
        <v>1784.25</v>
      </c>
      <c r="E18" s="302">
        <f t="shared" si="1"/>
        <v>12.296691936595451</v>
      </c>
      <c r="F18" s="367">
        <f t="shared" si="0"/>
        <v>22.373832</v>
      </c>
      <c r="G18">
        <v>143422</v>
      </c>
    </row>
    <row r="19" spans="1:13" ht="24.75" customHeight="1">
      <c r="A19" s="158" t="s">
        <v>167</v>
      </c>
      <c r="B19" s="159">
        <v>115</v>
      </c>
      <c r="C19" s="160">
        <v>115</v>
      </c>
      <c r="D19" s="159">
        <v>138</v>
      </c>
      <c r="E19" s="302">
        <f t="shared" si="1"/>
        <v>12</v>
      </c>
      <c r="F19" s="367">
        <f t="shared" si="0"/>
        <v>16.959384</v>
      </c>
      <c r="G19">
        <v>108714</v>
      </c>
    </row>
    <row r="20" spans="1:13" ht="24.75" customHeight="1">
      <c r="A20" s="158" t="s">
        <v>168</v>
      </c>
      <c r="B20" s="159">
        <v>3</v>
      </c>
      <c r="C20" s="160">
        <v>3</v>
      </c>
      <c r="D20" s="159">
        <v>5.4</v>
      </c>
      <c r="E20" s="302">
        <f>(D20*$G$8)/C20</f>
        <v>18</v>
      </c>
      <c r="F20" s="367">
        <f t="shared" si="0"/>
        <v>10.902528</v>
      </c>
      <c r="G20">
        <v>69888</v>
      </c>
    </row>
    <row r="21" spans="1:13" ht="24.75" customHeight="1">
      <c r="A21" s="158" t="s">
        <v>169</v>
      </c>
      <c r="B21" s="159">
        <v>0</v>
      </c>
      <c r="C21" s="160">
        <v>0</v>
      </c>
      <c r="D21" s="160">
        <v>0</v>
      </c>
      <c r="E21" s="160">
        <v>0</v>
      </c>
      <c r="F21" s="367">
        <f t="shared" si="0"/>
        <v>29.100083999999999</v>
      </c>
      <c r="G21">
        <v>186539</v>
      </c>
    </row>
    <row r="22" spans="1:13" ht="24.75" customHeight="1">
      <c r="A22" s="158" t="s">
        <v>170</v>
      </c>
      <c r="B22" s="159">
        <v>0</v>
      </c>
      <c r="C22" s="160">
        <v>0</v>
      </c>
      <c r="D22" s="160">
        <v>0</v>
      </c>
      <c r="E22" s="160">
        <v>0</v>
      </c>
      <c r="F22" s="367">
        <f t="shared" si="0"/>
        <v>26.134523999999999</v>
      </c>
      <c r="G22">
        <v>167529</v>
      </c>
    </row>
    <row r="23" spans="1:13" ht="24.75" customHeight="1">
      <c r="A23" s="158" t="s">
        <v>171</v>
      </c>
      <c r="B23" s="159">
        <v>0</v>
      </c>
      <c r="C23" s="160">
        <v>0</v>
      </c>
      <c r="D23" s="160">
        <v>0</v>
      </c>
      <c r="E23" s="160">
        <v>0</v>
      </c>
      <c r="F23" s="367">
        <f t="shared" si="0"/>
        <v>14.058252</v>
      </c>
      <c r="G23">
        <v>90117</v>
      </c>
    </row>
    <row r="24" spans="1:13" ht="24.75" customHeight="1">
      <c r="A24" s="158" t="s">
        <v>172</v>
      </c>
      <c r="B24" s="159">
        <v>0</v>
      </c>
      <c r="C24" s="160">
        <v>0</v>
      </c>
      <c r="D24" s="160">
        <v>0</v>
      </c>
      <c r="E24" s="160">
        <v>0</v>
      </c>
      <c r="F24" s="367">
        <f t="shared" si="0"/>
        <v>13.712244</v>
      </c>
      <c r="G24">
        <v>87899</v>
      </c>
    </row>
    <row r="25" spans="1:13" ht="24.75" customHeight="1">
      <c r="A25" s="182" t="s">
        <v>173</v>
      </c>
      <c r="B25" s="183">
        <v>0</v>
      </c>
      <c r="C25" s="160">
        <v>0</v>
      </c>
      <c r="D25" s="160">
        <v>0</v>
      </c>
      <c r="E25" s="160">
        <v>0</v>
      </c>
      <c r="F25" s="368">
        <f t="shared" si="0"/>
        <v>29.521908</v>
      </c>
      <c r="G25">
        <v>189243</v>
      </c>
    </row>
    <row r="26" spans="1:13" ht="24.75" customHeight="1">
      <c r="A26" s="12">
        <v>2025</v>
      </c>
      <c r="B26" s="186">
        <f>SUM(B9:B25)</f>
        <v>3213</v>
      </c>
      <c r="C26" s="186">
        <f t="shared" ref="C26:F26" si="2">SUM(C9:C25)</f>
        <v>3213</v>
      </c>
      <c r="D26" s="186">
        <f t="shared" si="2"/>
        <v>4113.09</v>
      </c>
      <c r="E26" s="186">
        <f t="shared" si="2"/>
        <v>78.335291079956505</v>
      </c>
      <c r="F26" s="186">
        <f t="shared" si="2"/>
        <v>318.72001199999994</v>
      </c>
      <c r="I26">
        <v>3.2130000000000001</v>
      </c>
      <c r="J26">
        <v>3.2130000000000001</v>
      </c>
      <c r="K26">
        <v>4.1130000000000004</v>
      </c>
      <c r="L26">
        <v>78</v>
      </c>
      <c r="M26">
        <v>319</v>
      </c>
    </row>
    <row r="27" spans="1:13" ht="24.75" customHeight="1">
      <c r="A27" s="12">
        <f t="shared" ref="A27:A30" si="3">A26-1</f>
        <v>2024</v>
      </c>
      <c r="B27" s="167">
        <v>3368</v>
      </c>
      <c r="C27" s="167">
        <v>3383</v>
      </c>
      <c r="D27" s="167">
        <v>4451.0700000000015</v>
      </c>
      <c r="E27" s="187">
        <v>13.157168193910733</v>
      </c>
      <c r="F27" s="310">
        <v>167.43010022399997</v>
      </c>
    </row>
    <row r="28" spans="1:13" ht="24.75" customHeight="1">
      <c r="A28" s="12">
        <f t="shared" si="3"/>
        <v>2023</v>
      </c>
      <c r="B28" s="169">
        <v>2810.55</v>
      </c>
      <c r="C28" s="169">
        <v>3151.3700000000003</v>
      </c>
      <c r="D28" s="169">
        <v>4123.7840000000006</v>
      </c>
      <c r="E28" s="170">
        <v>14.034237833091744</v>
      </c>
      <c r="F28" s="311">
        <v>166.06857292800001</v>
      </c>
    </row>
    <row r="29" spans="1:13" ht="24.75" customHeight="1">
      <c r="A29" s="12">
        <f t="shared" si="3"/>
        <v>2022</v>
      </c>
      <c r="B29" s="169">
        <v>3261</v>
      </c>
      <c r="C29" s="169">
        <v>2937.7</v>
      </c>
      <c r="D29" s="169">
        <v>3458.8581199999999</v>
      </c>
      <c r="E29" s="170">
        <v>11.774034516798856</v>
      </c>
      <c r="F29" s="311">
        <v>1837.5220500000003</v>
      </c>
    </row>
    <row r="30" spans="1:13" ht="24.75" customHeight="1">
      <c r="A30" s="12">
        <f t="shared" si="3"/>
        <v>2021</v>
      </c>
      <c r="B30" s="169">
        <v>3271</v>
      </c>
      <c r="C30" s="169">
        <v>3340.6999999999994</v>
      </c>
      <c r="D30" s="169">
        <v>4436.4220000000005</v>
      </c>
      <c r="E30" s="170">
        <v>13.279917382584491</v>
      </c>
      <c r="F30" s="311">
        <v>1823.8993398990001</v>
      </c>
    </row>
    <row r="31" spans="1:13" ht="24.75" customHeight="1">
      <c r="A31" s="172"/>
      <c r="B31" s="169"/>
      <c r="C31" s="169"/>
      <c r="D31" s="169"/>
      <c r="E31" s="170"/>
      <c r="F31" s="311"/>
    </row>
    <row r="32" spans="1:13" ht="14.25" customHeight="1">
      <c r="A32" s="158"/>
      <c r="B32" s="159"/>
      <c r="C32" s="159"/>
      <c r="D32" s="159"/>
      <c r="E32" s="161"/>
      <c r="F32" s="309"/>
    </row>
    <row r="33" spans="1:6" ht="14.25" customHeight="1">
      <c r="A33" s="173"/>
      <c r="B33" s="174"/>
      <c r="C33" s="174"/>
      <c r="D33" s="174"/>
      <c r="E33" s="176"/>
      <c r="F33" s="312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1000"/>
  <sheetViews>
    <sheetView topLeftCell="A19" workbookViewId="0">
      <selection activeCell="J26" sqref="J26:N26"/>
    </sheetView>
  </sheetViews>
  <sheetFormatPr defaultColWidth="14.42578125" defaultRowHeight="15" customHeight="1"/>
  <cols>
    <col min="1" max="1" width="25.42578125" customWidth="1"/>
    <col min="2" max="4" width="8.7109375" customWidth="1"/>
    <col min="5" max="5" width="11.5703125" customWidth="1"/>
    <col min="6" max="6" width="12" bestFit="1" customWidth="1"/>
    <col min="7" max="26" width="8.7109375" customWidth="1"/>
  </cols>
  <sheetData>
    <row r="1" spans="1:10" ht="14.25" customHeight="1">
      <c r="A1" s="429" t="s">
        <v>187</v>
      </c>
      <c r="B1" s="423"/>
      <c r="C1" s="423"/>
      <c r="D1" s="423"/>
      <c r="E1" s="423"/>
      <c r="F1" s="423"/>
    </row>
    <row r="2" spans="1:10" ht="14.25" customHeight="1">
      <c r="A2" s="429" t="s">
        <v>188</v>
      </c>
      <c r="B2" s="423"/>
      <c r="C2" s="423"/>
      <c r="D2" s="423"/>
      <c r="E2" s="423"/>
      <c r="F2" s="423"/>
    </row>
    <row r="3" spans="1:10" ht="14.25" customHeight="1">
      <c r="A3" s="429" t="s">
        <v>102</v>
      </c>
      <c r="B3" s="423"/>
      <c r="C3" s="423"/>
      <c r="D3" s="423"/>
      <c r="E3" s="423"/>
      <c r="F3" s="423"/>
    </row>
    <row r="4" spans="1:10" ht="14.25" customHeight="1">
      <c r="A4" s="137"/>
      <c r="B4" s="141"/>
      <c r="C4" s="122"/>
      <c r="D4" s="122"/>
      <c r="E4" s="123"/>
      <c r="F4" s="122"/>
    </row>
    <row r="5" spans="1:10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04" t="s">
        <v>147</v>
      </c>
    </row>
    <row r="6" spans="1:10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05" t="s">
        <v>178</v>
      </c>
    </row>
    <row r="7" spans="1:10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06" t="s">
        <v>156</v>
      </c>
    </row>
    <row r="8" spans="1:10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07" t="s">
        <v>35</v>
      </c>
      <c r="G8" s="280">
        <v>10</v>
      </c>
      <c r="H8" s="314">
        <f>0.053/1000</f>
        <v>5.3000000000000001E-5</v>
      </c>
      <c r="J8" s="378"/>
    </row>
    <row r="9" spans="1:10" ht="24.75" customHeight="1">
      <c r="A9" s="158" t="s">
        <v>157</v>
      </c>
      <c r="B9" s="159">
        <v>0</v>
      </c>
      <c r="C9" s="160">
        <v>0</v>
      </c>
      <c r="D9" s="159">
        <v>0</v>
      </c>
      <c r="E9" s="159">
        <v>0</v>
      </c>
      <c r="F9" s="352">
        <f>H9*$H$8</f>
        <v>3.4495050000000003</v>
      </c>
      <c r="G9" s="350"/>
      <c r="H9" s="350">
        <v>65085</v>
      </c>
    </row>
    <row r="10" spans="1:10" ht="24.75" customHeight="1">
      <c r="A10" s="158" t="s">
        <v>158</v>
      </c>
      <c r="B10" s="159">
        <v>25</v>
      </c>
      <c r="C10" s="160">
        <v>0</v>
      </c>
      <c r="D10" s="159">
        <v>0</v>
      </c>
      <c r="E10" s="159">
        <v>0</v>
      </c>
      <c r="F10" s="352">
        <f t="shared" ref="F10:F25" si="0">H10*$H$8</f>
        <v>5.6722190000000001</v>
      </c>
      <c r="G10" s="350"/>
      <c r="H10" s="350">
        <v>107023</v>
      </c>
    </row>
    <row r="11" spans="1:10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352">
        <f t="shared" si="0"/>
        <v>6.2114940000000001</v>
      </c>
      <c r="G11" s="350"/>
      <c r="H11" s="350">
        <v>117198</v>
      </c>
    </row>
    <row r="12" spans="1:10" ht="24.75" customHeight="1">
      <c r="A12" s="158" t="s">
        <v>160</v>
      </c>
      <c r="B12" s="159">
        <v>0</v>
      </c>
      <c r="C12" s="160">
        <v>0</v>
      </c>
      <c r="D12" s="159">
        <v>0</v>
      </c>
      <c r="E12" s="159">
        <v>0</v>
      </c>
      <c r="F12" s="352">
        <f t="shared" si="0"/>
        <v>6.1742879999999998</v>
      </c>
      <c r="G12" s="350"/>
      <c r="H12" s="350">
        <v>116496</v>
      </c>
    </row>
    <row r="13" spans="1:10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352">
        <f t="shared" si="0"/>
        <v>3.816424</v>
      </c>
      <c r="G13" s="350"/>
      <c r="H13" s="350">
        <v>72008</v>
      </c>
    </row>
    <row r="14" spans="1:10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352">
        <f t="shared" si="0"/>
        <v>4.2169449999999999</v>
      </c>
      <c r="G14" s="350"/>
      <c r="H14" s="350">
        <v>79565</v>
      </c>
    </row>
    <row r="15" spans="1:10" ht="24.75" customHeight="1">
      <c r="A15" s="158" t="s">
        <v>163</v>
      </c>
      <c r="B15" s="159">
        <v>20</v>
      </c>
      <c r="C15" s="160">
        <v>20</v>
      </c>
      <c r="D15" s="159">
        <v>2.8</v>
      </c>
      <c r="E15" s="313">
        <f>(D15*$G$8)/C15</f>
        <v>1.4</v>
      </c>
      <c r="F15" s="352">
        <f t="shared" si="0"/>
        <v>8.6388409999999993</v>
      </c>
      <c r="G15" s="350"/>
      <c r="H15" s="350">
        <v>162997</v>
      </c>
    </row>
    <row r="16" spans="1:10" ht="24.75" customHeight="1">
      <c r="A16" s="158" t="s">
        <v>164</v>
      </c>
      <c r="B16" s="159">
        <v>130</v>
      </c>
      <c r="C16" s="160">
        <v>130</v>
      </c>
      <c r="D16" s="159">
        <v>13.13</v>
      </c>
      <c r="E16" s="313">
        <f>(D16*$G$8)/C16</f>
        <v>1.01</v>
      </c>
      <c r="F16" s="352">
        <f t="shared" si="0"/>
        <v>7.7822019999999998</v>
      </c>
      <c r="G16" s="350"/>
      <c r="H16" s="350">
        <v>146834</v>
      </c>
    </row>
    <row r="17" spans="1:14" ht="24.75" customHeight="1">
      <c r="A17" s="158" t="s">
        <v>165</v>
      </c>
      <c r="B17" s="159">
        <v>1</v>
      </c>
      <c r="C17" s="160">
        <v>1</v>
      </c>
      <c r="D17" s="159">
        <v>0.13999999999999999</v>
      </c>
      <c r="E17" s="313">
        <f>(D17*$G$8)/C17</f>
        <v>1.4</v>
      </c>
      <c r="F17" s="352">
        <f t="shared" si="0"/>
        <v>7.0235599999999998</v>
      </c>
      <c r="G17" s="350"/>
      <c r="H17" s="350">
        <v>132520</v>
      </c>
    </row>
    <row r="18" spans="1:14" ht="24.75" customHeight="1">
      <c r="A18" s="158" t="s">
        <v>166</v>
      </c>
      <c r="B18" s="159">
        <v>216</v>
      </c>
      <c r="C18" s="160">
        <v>216</v>
      </c>
      <c r="D18" s="159">
        <v>17.346</v>
      </c>
      <c r="E18" s="313">
        <f>(D18*$G$8)/C18</f>
        <v>0.80305555555555563</v>
      </c>
      <c r="F18" s="352">
        <f t="shared" si="0"/>
        <v>7.6013660000000005</v>
      </c>
      <c r="G18" s="350"/>
      <c r="H18" s="350">
        <v>143422</v>
      </c>
    </row>
    <row r="19" spans="1:14" ht="24.75" customHeight="1">
      <c r="A19" s="158" t="s">
        <v>167</v>
      </c>
      <c r="B19" s="159">
        <v>62</v>
      </c>
      <c r="C19" s="160">
        <v>62</v>
      </c>
      <c r="D19" s="159">
        <v>6.82</v>
      </c>
      <c r="E19" s="313">
        <f>(D19*$G$8)/C19</f>
        <v>1.1000000000000001</v>
      </c>
      <c r="F19" s="352">
        <f t="shared" si="0"/>
        <v>5.7618419999999997</v>
      </c>
      <c r="G19" s="350"/>
      <c r="H19" s="350">
        <v>108714</v>
      </c>
    </row>
    <row r="20" spans="1:14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352">
        <f t="shared" si="0"/>
        <v>3.7040640000000002</v>
      </c>
      <c r="G20" s="350"/>
      <c r="H20" s="350">
        <v>69888</v>
      </c>
    </row>
    <row r="21" spans="1:14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352">
        <f t="shared" si="0"/>
        <v>9.8865669999999994</v>
      </c>
      <c r="G21" s="350"/>
      <c r="H21" s="350">
        <v>186539</v>
      </c>
    </row>
    <row r="22" spans="1:14" ht="24.75" customHeight="1">
      <c r="A22" s="158" t="s">
        <v>170</v>
      </c>
      <c r="B22" s="159">
        <v>68</v>
      </c>
      <c r="C22" s="160">
        <v>68</v>
      </c>
      <c r="D22" s="159">
        <v>10.199999999999999</v>
      </c>
      <c r="E22" s="313">
        <f>(D22*$G$8)/C22</f>
        <v>1.5</v>
      </c>
      <c r="F22" s="352">
        <f t="shared" si="0"/>
        <v>8.8790370000000003</v>
      </c>
      <c r="G22" s="350"/>
      <c r="H22" s="350">
        <v>167529</v>
      </c>
    </row>
    <row r="23" spans="1:14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52">
        <f t="shared" si="0"/>
        <v>4.7762010000000004</v>
      </c>
      <c r="G23" s="350"/>
      <c r="H23" s="350">
        <v>90117</v>
      </c>
    </row>
    <row r="24" spans="1:14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352">
        <f t="shared" si="0"/>
        <v>4.6586470000000002</v>
      </c>
      <c r="G24" s="350"/>
      <c r="H24" s="350">
        <v>87899</v>
      </c>
    </row>
    <row r="25" spans="1:14" ht="24.75" customHeight="1">
      <c r="A25" s="182" t="s">
        <v>173</v>
      </c>
      <c r="B25" s="183">
        <v>0</v>
      </c>
      <c r="C25" s="184">
        <v>0</v>
      </c>
      <c r="D25" s="183">
        <v>0</v>
      </c>
      <c r="E25" s="159">
        <v>0</v>
      </c>
      <c r="F25" s="352">
        <f t="shared" si="0"/>
        <v>10.029878999999999</v>
      </c>
      <c r="G25" s="350"/>
      <c r="H25" s="350">
        <v>189243</v>
      </c>
    </row>
    <row r="26" spans="1:14" ht="24.75" customHeight="1">
      <c r="A26" s="12">
        <v>2025</v>
      </c>
      <c r="B26" s="186">
        <f>SUM(B9:B25)</f>
        <v>522</v>
      </c>
      <c r="C26" s="186">
        <f t="shared" ref="C26:F26" si="1">SUM(C9:C25)</f>
        <v>497</v>
      </c>
      <c r="D26" s="186">
        <f t="shared" si="1"/>
        <v>50.435999999999993</v>
      </c>
      <c r="E26" s="186">
        <f t="shared" si="1"/>
        <v>7.213055555555556</v>
      </c>
      <c r="F26" s="186">
        <f t="shared" si="1"/>
        <v>108.283081</v>
      </c>
      <c r="J26">
        <v>522</v>
      </c>
      <c r="K26">
        <v>497</v>
      </c>
      <c r="L26">
        <v>50</v>
      </c>
      <c r="M26">
        <v>7</v>
      </c>
      <c r="N26">
        <v>108</v>
      </c>
    </row>
    <row r="27" spans="1:14" ht="24.75" customHeight="1">
      <c r="A27" s="12">
        <f t="shared" ref="A27:A30" si="2">A26-1</f>
        <v>2024</v>
      </c>
      <c r="B27" s="167">
        <v>1090</v>
      </c>
      <c r="C27" s="167">
        <v>1090</v>
      </c>
      <c r="D27" s="167">
        <v>1423.1</v>
      </c>
      <c r="E27" s="187">
        <v>13.055963302752293</v>
      </c>
      <c r="F27" s="310">
        <v>18701.155299999999</v>
      </c>
    </row>
    <row r="28" spans="1:14" ht="24.75" customHeight="1">
      <c r="A28" s="12">
        <f t="shared" si="2"/>
        <v>2023</v>
      </c>
      <c r="B28" s="169">
        <v>1176.48</v>
      </c>
      <c r="C28" s="169">
        <v>1389.84</v>
      </c>
      <c r="D28" s="169">
        <v>2041.0157999999999</v>
      </c>
      <c r="E28" s="170">
        <v>15.254277314561785</v>
      </c>
      <c r="F28" s="311">
        <v>19717.363640000003</v>
      </c>
    </row>
    <row r="29" spans="1:14" ht="24.75" customHeight="1">
      <c r="A29" s="12">
        <f t="shared" si="2"/>
        <v>2022</v>
      </c>
      <c r="B29" s="169">
        <v>1472.2000000000003</v>
      </c>
      <c r="C29" s="169">
        <v>1215.1000000000001</v>
      </c>
      <c r="D29" s="169">
        <v>1595.31</v>
      </c>
      <c r="E29" s="170">
        <v>13.129042877129454</v>
      </c>
      <c r="F29" s="311">
        <v>15790.5741</v>
      </c>
    </row>
    <row r="30" spans="1:14" ht="24.75" customHeight="1">
      <c r="A30" s="12">
        <f t="shared" si="2"/>
        <v>2021</v>
      </c>
      <c r="B30" s="169">
        <v>1514.5</v>
      </c>
      <c r="C30" s="169">
        <v>2207</v>
      </c>
      <c r="D30" s="169">
        <v>4303.0809999999992</v>
      </c>
      <c r="E30" s="170">
        <v>19.497421839601266</v>
      </c>
      <c r="F30" s="311">
        <v>15673.508613197999</v>
      </c>
    </row>
    <row r="31" spans="1:14" ht="24.75" customHeight="1">
      <c r="A31" s="172"/>
      <c r="B31" s="169"/>
      <c r="C31" s="169"/>
      <c r="D31" s="169"/>
      <c r="E31" s="170"/>
      <c r="F31" s="311"/>
    </row>
    <row r="32" spans="1:14" ht="24.75" customHeight="1">
      <c r="A32" s="158"/>
      <c r="B32" s="159"/>
      <c r="C32" s="159"/>
      <c r="D32" s="159"/>
      <c r="E32" s="161"/>
      <c r="F32" s="309"/>
    </row>
    <row r="33" spans="1:6" ht="24.75" customHeight="1">
      <c r="A33" s="173"/>
      <c r="B33" s="174"/>
      <c r="C33" s="174"/>
      <c r="D33" s="174"/>
      <c r="E33" s="176"/>
      <c r="F33" s="312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1000"/>
  <sheetViews>
    <sheetView topLeftCell="A19" workbookViewId="0">
      <selection activeCell="I26" sqref="I26:M26"/>
    </sheetView>
  </sheetViews>
  <sheetFormatPr defaultColWidth="14.42578125" defaultRowHeight="15" customHeight="1"/>
  <cols>
    <col min="1" max="1" width="24.85546875" customWidth="1"/>
    <col min="2" max="5" width="8.7109375" customWidth="1"/>
    <col min="6" max="6" width="11.140625" customWidth="1"/>
    <col min="7" max="26" width="8.7109375" customWidth="1"/>
  </cols>
  <sheetData>
    <row r="1" spans="1:9" ht="14.25" customHeight="1">
      <c r="A1" s="429" t="s">
        <v>189</v>
      </c>
      <c r="B1" s="423"/>
      <c r="C1" s="423"/>
      <c r="D1" s="423"/>
      <c r="E1" s="423"/>
      <c r="F1" s="423"/>
    </row>
    <row r="2" spans="1:9" ht="14.25" customHeight="1">
      <c r="A2" s="429" t="s">
        <v>190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19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20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21" t="s">
        <v>156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318" t="s">
        <v>12</v>
      </c>
      <c r="F8" s="322" t="s">
        <v>35</v>
      </c>
      <c r="G8" s="280">
        <v>10</v>
      </c>
      <c r="H8" s="314">
        <f>0.104/1000</f>
        <v>1.0399999999999999E-4</v>
      </c>
      <c r="I8" s="378">
        <f>0.002*52</f>
        <v>0.10400000000000001</v>
      </c>
    </row>
    <row r="9" spans="1:9" ht="24.75" customHeight="1">
      <c r="A9" s="158" t="s">
        <v>157</v>
      </c>
      <c r="B9" s="159">
        <v>4</v>
      </c>
      <c r="C9" s="160">
        <v>4</v>
      </c>
      <c r="D9" s="159">
        <v>4</v>
      </c>
      <c r="E9" s="313">
        <f>(D9*$G$8)/C9</f>
        <v>10</v>
      </c>
      <c r="F9" s="323">
        <f>$H$8*H9</f>
        <v>6.76884</v>
      </c>
      <c r="G9" s="280"/>
      <c r="H9" s="280">
        <v>65085</v>
      </c>
    </row>
    <row r="10" spans="1:9" ht="24.75" customHeight="1">
      <c r="A10" s="158" t="s">
        <v>158</v>
      </c>
      <c r="B10" s="159">
        <v>20</v>
      </c>
      <c r="C10" s="160">
        <v>40</v>
      </c>
      <c r="D10" s="159">
        <v>39.679999999999993</v>
      </c>
      <c r="E10" s="313">
        <f>(D10*$G$8)/C10</f>
        <v>9.9199999999999982</v>
      </c>
      <c r="F10" s="323">
        <f t="shared" ref="F10:F25" si="0">$H$8*H10</f>
        <v>11.130391999999999</v>
      </c>
      <c r="G10" s="280"/>
      <c r="H10" s="280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323">
        <f t="shared" si="0"/>
        <v>12.188592</v>
      </c>
      <c r="G11" s="280"/>
      <c r="H11" s="280">
        <v>117198</v>
      </c>
    </row>
    <row r="12" spans="1:9" ht="24.75" customHeight="1">
      <c r="A12" s="158" t="s">
        <v>160</v>
      </c>
      <c r="B12" s="159">
        <v>0</v>
      </c>
      <c r="C12" s="160">
        <v>0</v>
      </c>
      <c r="D12" s="159">
        <v>0</v>
      </c>
      <c r="E12" s="159">
        <v>0</v>
      </c>
      <c r="F12" s="323">
        <f t="shared" si="0"/>
        <v>12.115584</v>
      </c>
      <c r="G12" s="280"/>
      <c r="H12" s="280">
        <v>116496</v>
      </c>
    </row>
    <row r="13" spans="1:9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323">
        <f t="shared" si="0"/>
        <v>7.4888319999999995</v>
      </c>
      <c r="G13" s="280"/>
      <c r="H13" s="280">
        <v>72008</v>
      </c>
    </row>
    <row r="14" spans="1:9" ht="24.75" customHeight="1">
      <c r="A14" s="158" t="s">
        <v>162</v>
      </c>
      <c r="B14" s="159">
        <v>2</v>
      </c>
      <c r="C14" s="160">
        <v>4</v>
      </c>
      <c r="D14" s="159">
        <v>1.9</v>
      </c>
      <c r="E14" s="313">
        <f>(D14*$G$8)/C14</f>
        <v>4.75</v>
      </c>
      <c r="F14" s="323">
        <f t="shared" si="0"/>
        <v>8.2747599999999988</v>
      </c>
      <c r="G14" s="280"/>
      <c r="H14" s="280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323">
        <f t="shared" si="0"/>
        <v>16.951687999999997</v>
      </c>
      <c r="G15" s="280"/>
      <c r="H15" s="280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323">
        <f t="shared" si="0"/>
        <v>15.270735999999999</v>
      </c>
      <c r="G16" s="280"/>
      <c r="H16" s="280">
        <v>146834</v>
      </c>
    </row>
    <row r="17" spans="1:13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323">
        <f t="shared" si="0"/>
        <v>13.782079999999999</v>
      </c>
      <c r="G17" s="280"/>
      <c r="H17" s="280">
        <v>132520</v>
      </c>
    </row>
    <row r="18" spans="1:13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323">
        <f t="shared" si="0"/>
        <v>14.915887999999999</v>
      </c>
      <c r="G18" s="280"/>
      <c r="H18" s="280">
        <v>143422</v>
      </c>
    </row>
    <row r="19" spans="1:13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323">
        <f t="shared" si="0"/>
        <v>11.306255999999999</v>
      </c>
      <c r="G19" s="280"/>
      <c r="H19" s="280">
        <v>108714</v>
      </c>
    </row>
    <row r="20" spans="1:13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323">
        <f t="shared" si="0"/>
        <v>7.2683519999999993</v>
      </c>
      <c r="G20" s="280"/>
      <c r="H20" s="280">
        <v>69888</v>
      </c>
    </row>
    <row r="21" spans="1:13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323">
        <f t="shared" si="0"/>
        <v>19.400055999999999</v>
      </c>
      <c r="G21" s="280"/>
      <c r="H21" s="280">
        <v>186539</v>
      </c>
    </row>
    <row r="22" spans="1:13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323">
        <f t="shared" si="0"/>
        <v>17.423016000000001</v>
      </c>
      <c r="G22" s="280"/>
      <c r="H22" s="280">
        <v>167529</v>
      </c>
    </row>
    <row r="23" spans="1:13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23">
        <f t="shared" si="0"/>
        <v>9.3721680000000003</v>
      </c>
      <c r="G23" s="280"/>
      <c r="H23" s="280">
        <v>90117</v>
      </c>
    </row>
    <row r="24" spans="1:13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323">
        <f t="shared" si="0"/>
        <v>9.1414960000000001</v>
      </c>
      <c r="G24" s="280"/>
      <c r="H24" s="280">
        <v>87899</v>
      </c>
    </row>
    <row r="25" spans="1:13" ht="24.75" customHeight="1">
      <c r="A25" s="182" t="s">
        <v>173</v>
      </c>
      <c r="B25" s="183">
        <v>0</v>
      </c>
      <c r="C25" s="184">
        <v>0</v>
      </c>
      <c r="D25" s="183">
        <v>0</v>
      </c>
      <c r="E25" s="159">
        <v>0</v>
      </c>
      <c r="F25" s="369">
        <f t="shared" si="0"/>
        <v>19.681272</v>
      </c>
      <c r="G25" s="280"/>
      <c r="H25" s="280">
        <v>189243</v>
      </c>
    </row>
    <row r="26" spans="1:13" ht="24.75" customHeight="1">
      <c r="A26" s="12">
        <v>2025</v>
      </c>
      <c r="B26" s="186">
        <f>SUM(B9:B25)</f>
        <v>26</v>
      </c>
      <c r="C26" s="186">
        <f t="shared" ref="C26:F26" si="1">SUM(C9:C25)</f>
        <v>48</v>
      </c>
      <c r="D26" s="186">
        <f t="shared" si="1"/>
        <v>45.579999999999991</v>
      </c>
      <c r="E26" s="186">
        <f t="shared" si="1"/>
        <v>24.669999999999998</v>
      </c>
      <c r="F26" s="186">
        <f t="shared" si="1"/>
        <v>212.48000799999997</v>
      </c>
      <c r="I26">
        <v>26</v>
      </c>
      <c r="J26">
        <v>48</v>
      </c>
      <c r="K26">
        <v>46</v>
      </c>
      <c r="L26">
        <v>25</v>
      </c>
      <c r="M26">
        <v>212</v>
      </c>
    </row>
    <row r="27" spans="1:13" ht="24.75" customHeight="1">
      <c r="A27" s="12">
        <f t="shared" ref="A27:A30" si="2">A26-1</f>
        <v>2024</v>
      </c>
      <c r="B27" s="167">
        <v>67</v>
      </c>
      <c r="C27" s="167">
        <v>48</v>
      </c>
      <c r="D27" s="167">
        <v>159.80000000000001</v>
      </c>
      <c r="E27" s="187">
        <v>33.291666666666664</v>
      </c>
      <c r="F27" s="310">
        <v>127.35796723199999</v>
      </c>
    </row>
    <row r="28" spans="1:13" ht="24.75" customHeight="1">
      <c r="A28" s="12">
        <f t="shared" si="2"/>
        <v>2023</v>
      </c>
      <c r="B28" s="169">
        <v>34.410000000000004</v>
      </c>
      <c r="C28" s="169">
        <v>42.42</v>
      </c>
      <c r="D28" s="169">
        <v>73.941699999999997</v>
      </c>
      <c r="E28" s="170">
        <v>29.238273014757553</v>
      </c>
      <c r="F28" s="311">
        <v>275.46919679999996</v>
      </c>
    </row>
    <row r="29" spans="1:13" ht="24.75" customHeight="1">
      <c r="A29" s="12">
        <f t="shared" si="2"/>
        <v>2022</v>
      </c>
      <c r="B29" s="169">
        <v>118.9</v>
      </c>
      <c r="C29" s="169">
        <v>247.20000000000002</v>
      </c>
      <c r="D29" s="169">
        <v>98.303999999999988</v>
      </c>
      <c r="E29" s="170">
        <v>14.001739130434782</v>
      </c>
      <c r="F29" s="311">
        <v>121.15530000000001</v>
      </c>
    </row>
    <row r="30" spans="1:13" ht="24.75" customHeight="1">
      <c r="A30" s="12">
        <f t="shared" si="2"/>
        <v>2021</v>
      </c>
      <c r="B30" s="169">
        <v>215.9</v>
      </c>
      <c r="C30" s="169">
        <v>213.1</v>
      </c>
      <c r="D30" s="169">
        <v>766.36</v>
      </c>
      <c r="E30" s="170">
        <v>35.962458939465037</v>
      </c>
      <c r="F30" s="311">
        <v>120.25709933400002</v>
      </c>
    </row>
    <row r="31" spans="1:13" ht="24.75" customHeight="1">
      <c r="A31" s="172"/>
      <c r="B31" s="169"/>
      <c r="C31" s="169"/>
      <c r="D31" s="169"/>
      <c r="E31" s="170"/>
      <c r="F31" s="311"/>
    </row>
    <row r="32" spans="1:13" ht="24.75" customHeight="1">
      <c r="A32" s="158"/>
      <c r="B32" s="159"/>
      <c r="C32" s="159"/>
      <c r="D32" s="159"/>
      <c r="E32" s="161"/>
      <c r="F32" s="309"/>
    </row>
    <row r="33" spans="1:6" ht="24.75" customHeight="1">
      <c r="A33" s="173"/>
      <c r="B33" s="174"/>
      <c r="C33" s="174"/>
      <c r="D33" s="174"/>
      <c r="E33" s="176"/>
      <c r="F33" s="312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1000"/>
  <sheetViews>
    <sheetView topLeftCell="A19" workbookViewId="0">
      <selection activeCell="J26" sqref="J26"/>
    </sheetView>
  </sheetViews>
  <sheetFormatPr defaultColWidth="14.42578125" defaultRowHeight="15" customHeight="1"/>
  <cols>
    <col min="1" max="1" width="23.7109375" customWidth="1"/>
    <col min="2" max="4" width="8.7109375" customWidth="1"/>
    <col min="5" max="6" width="11.7109375" customWidth="1"/>
    <col min="7" max="26" width="8.7109375" customWidth="1"/>
  </cols>
  <sheetData>
    <row r="1" spans="1:10" ht="14.25" customHeight="1">
      <c r="A1" s="429" t="s">
        <v>191</v>
      </c>
      <c r="B1" s="423"/>
      <c r="C1" s="423"/>
      <c r="D1" s="423"/>
      <c r="E1" s="423"/>
      <c r="F1" s="423"/>
    </row>
    <row r="2" spans="1:10" ht="14.25" customHeight="1">
      <c r="A2" s="429" t="s">
        <v>192</v>
      </c>
      <c r="B2" s="423"/>
      <c r="C2" s="423"/>
      <c r="D2" s="423"/>
      <c r="E2" s="423"/>
      <c r="F2" s="423"/>
    </row>
    <row r="3" spans="1:10" ht="14.25" customHeight="1">
      <c r="A3" s="429" t="s">
        <v>102</v>
      </c>
      <c r="B3" s="423"/>
      <c r="C3" s="423"/>
      <c r="D3" s="423"/>
      <c r="E3" s="423"/>
      <c r="F3" s="423"/>
    </row>
    <row r="4" spans="1:10" ht="14.25" customHeight="1">
      <c r="A4" s="137"/>
      <c r="B4" s="141"/>
      <c r="C4" s="122"/>
      <c r="D4" s="122"/>
      <c r="E4" s="123"/>
      <c r="F4" s="122"/>
    </row>
    <row r="5" spans="1:10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19" t="s">
        <v>147</v>
      </c>
    </row>
    <row r="6" spans="1:10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20" t="s">
        <v>178</v>
      </c>
    </row>
    <row r="7" spans="1:10" ht="14.25" customHeigh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21" t="s">
        <v>156</v>
      </c>
    </row>
    <row r="8" spans="1:10" ht="14.25" customHeigh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22" t="s">
        <v>35</v>
      </c>
      <c r="G8" s="280">
        <v>10</v>
      </c>
      <c r="H8" s="314">
        <f>2.6865/1000</f>
        <v>2.6865000000000001E-3</v>
      </c>
      <c r="J8" s="351">
        <v>2.6865000000000001</v>
      </c>
    </row>
    <row r="9" spans="1:10" ht="24.75" customHeight="1">
      <c r="A9" s="158" t="s">
        <v>157</v>
      </c>
      <c r="B9" s="159">
        <v>0</v>
      </c>
      <c r="C9" s="160">
        <v>0</v>
      </c>
      <c r="D9" s="159">
        <v>0</v>
      </c>
      <c r="E9" s="159">
        <v>0</v>
      </c>
      <c r="F9" s="323">
        <f>$H$8*H9</f>
        <v>174.8508525</v>
      </c>
      <c r="G9" s="280"/>
      <c r="H9" s="280">
        <v>65085</v>
      </c>
    </row>
    <row r="10" spans="1:10" ht="24.75" customHeight="1">
      <c r="A10" s="158" t="s">
        <v>158</v>
      </c>
      <c r="B10" s="159">
        <v>54</v>
      </c>
      <c r="C10" s="160">
        <v>51</v>
      </c>
      <c r="D10" s="159">
        <v>468.4</v>
      </c>
      <c r="E10" s="313">
        <f>(D10*$G$8)/C10</f>
        <v>91.843137254901961</v>
      </c>
      <c r="F10" s="323">
        <f t="shared" ref="F10:F25" si="0">$H$8*H10</f>
        <v>287.5172895</v>
      </c>
      <c r="G10" s="280"/>
      <c r="H10" s="280">
        <v>107023</v>
      </c>
    </row>
    <row r="11" spans="1:10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323">
        <f t="shared" si="0"/>
        <v>314.85242700000003</v>
      </c>
      <c r="G11" s="280"/>
      <c r="H11" s="280">
        <v>117198</v>
      </c>
    </row>
    <row r="12" spans="1:10" ht="24.75" customHeight="1">
      <c r="A12" s="158" t="s">
        <v>160</v>
      </c>
      <c r="B12" s="159">
        <v>0</v>
      </c>
      <c r="C12" s="160">
        <v>0</v>
      </c>
      <c r="D12" s="159">
        <v>0</v>
      </c>
      <c r="E12" s="159">
        <v>0</v>
      </c>
      <c r="F12" s="323">
        <f t="shared" si="0"/>
        <v>312.96650399999999</v>
      </c>
      <c r="G12" s="280"/>
      <c r="H12" s="280">
        <v>116496</v>
      </c>
    </row>
    <row r="13" spans="1:10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323">
        <f t="shared" si="0"/>
        <v>193.44949199999999</v>
      </c>
      <c r="G13" s="280"/>
      <c r="H13" s="280">
        <v>72008</v>
      </c>
    </row>
    <row r="14" spans="1:10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323">
        <f t="shared" si="0"/>
        <v>213.7513725</v>
      </c>
      <c r="G14" s="280"/>
      <c r="H14" s="280">
        <v>79565</v>
      </c>
    </row>
    <row r="15" spans="1:10" ht="24.75" customHeight="1">
      <c r="A15" s="158" t="s">
        <v>163</v>
      </c>
      <c r="B15" s="159">
        <v>7233</v>
      </c>
      <c r="C15" s="160">
        <v>7891</v>
      </c>
      <c r="D15" s="159">
        <v>132159.5</v>
      </c>
      <c r="E15" s="313">
        <f t="shared" ref="E15:E25" si="1">(D15*$G$8)/C15</f>
        <v>167.48130781903436</v>
      </c>
      <c r="F15" s="323">
        <f t="shared" si="0"/>
        <v>437.89144049999999</v>
      </c>
      <c r="G15" s="280"/>
      <c r="H15" s="280">
        <v>162997</v>
      </c>
    </row>
    <row r="16" spans="1:10" ht="24.75" customHeight="1">
      <c r="A16" s="158" t="s">
        <v>164</v>
      </c>
      <c r="B16" s="159">
        <v>992</v>
      </c>
      <c r="C16" s="160">
        <v>1007</v>
      </c>
      <c r="D16" s="159">
        <v>12084</v>
      </c>
      <c r="E16" s="313">
        <f t="shared" si="1"/>
        <v>120</v>
      </c>
      <c r="F16" s="323">
        <f t="shared" si="0"/>
        <v>394.46954099999999</v>
      </c>
      <c r="G16" s="280"/>
      <c r="H16" s="280">
        <v>146834</v>
      </c>
    </row>
    <row r="17" spans="1:13" ht="24.75" customHeight="1">
      <c r="A17" s="158" t="s">
        <v>165</v>
      </c>
      <c r="B17" s="159">
        <v>35</v>
      </c>
      <c r="C17" s="160">
        <v>36</v>
      </c>
      <c r="D17" s="159">
        <v>387.5</v>
      </c>
      <c r="E17" s="313">
        <f t="shared" si="1"/>
        <v>107.63888888888889</v>
      </c>
      <c r="F17" s="323">
        <f t="shared" si="0"/>
        <v>356.01498000000004</v>
      </c>
      <c r="G17" s="280"/>
      <c r="H17" s="280">
        <v>132520</v>
      </c>
    </row>
    <row r="18" spans="1:13" ht="24.75" customHeight="1">
      <c r="A18" s="158" t="s">
        <v>166</v>
      </c>
      <c r="B18" s="159">
        <v>1057</v>
      </c>
      <c r="C18" s="160">
        <v>834</v>
      </c>
      <c r="D18" s="159">
        <v>13696.072</v>
      </c>
      <c r="E18" s="313">
        <f t="shared" si="1"/>
        <v>164.22148681055157</v>
      </c>
      <c r="F18" s="323">
        <f t="shared" si="0"/>
        <v>385.303203</v>
      </c>
      <c r="G18" s="280"/>
      <c r="H18" s="280">
        <v>143422</v>
      </c>
    </row>
    <row r="19" spans="1:13" ht="24.75" customHeight="1">
      <c r="A19" s="158" t="s">
        <v>167</v>
      </c>
      <c r="B19" s="159">
        <v>2832</v>
      </c>
      <c r="C19" s="160">
        <v>2872</v>
      </c>
      <c r="D19" s="159">
        <v>33202.9</v>
      </c>
      <c r="E19" s="313">
        <f t="shared" si="1"/>
        <v>115.60898328690807</v>
      </c>
      <c r="F19" s="323">
        <f t="shared" si="0"/>
        <v>292.06016099999999</v>
      </c>
      <c r="G19" s="280"/>
      <c r="H19" s="280">
        <v>108714</v>
      </c>
    </row>
    <row r="20" spans="1:13" ht="24.75" customHeight="1">
      <c r="A20" s="158" t="s">
        <v>168</v>
      </c>
      <c r="B20" s="159">
        <v>633</v>
      </c>
      <c r="C20" s="160">
        <v>660</v>
      </c>
      <c r="D20" s="159">
        <v>12712</v>
      </c>
      <c r="E20" s="313">
        <f t="shared" si="1"/>
        <v>192.60606060606059</v>
      </c>
      <c r="F20" s="323">
        <f t="shared" si="0"/>
        <v>187.75411199999999</v>
      </c>
      <c r="G20" s="280"/>
      <c r="H20" s="280">
        <v>69888</v>
      </c>
    </row>
    <row r="21" spans="1:13" ht="24.75" customHeight="1">
      <c r="A21" s="158" t="s">
        <v>169</v>
      </c>
      <c r="B21" s="159">
        <v>1872</v>
      </c>
      <c r="C21" s="160">
        <v>1918</v>
      </c>
      <c r="D21" s="159">
        <v>36625.9</v>
      </c>
      <c r="E21" s="313">
        <f t="shared" si="1"/>
        <v>190.95881126173097</v>
      </c>
      <c r="F21" s="323">
        <f t="shared" si="0"/>
        <v>501.1370235</v>
      </c>
      <c r="G21" s="280"/>
      <c r="H21" s="280">
        <v>186539</v>
      </c>
    </row>
    <row r="22" spans="1:13" ht="24.75" customHeight="1">
      <c r="A22" s="158" t="s">
        <v>170</v>
      </c>
      <c r="B22" s="159">
        <v>7326</v>
      </c>
      <c r="C22" s="160">
        <v>6577</v>
      </c>
      <c r="D22" s="159">
        <v>107762.5</v>
      </c>
      <c r="E22" s="313">
        <f t="shared" si="1"/>
        <v>163.84749885966247</v>
      </c>
      <c r="F22" s="323">
        <f t="shared" si="0"/>
        <v>450.06665850000002</v>
      </c>
      <c r="G22" s="280"/>
      <c r="H22" s="280">
        <v>167529</v>
      </c>
    </row>
    <row r="23" spans="1:13" ht="24.75" customHeight="1">
      <c r="A23" s="158" t="s">
        <v>171</v>
      </c>
      <c r="B23" s="159">
        <v>269</v>
      </c>
      <c r="C23" s="160">
        <v>274</v>
      </c>
      <c r="D23" s="159">
        <v>3344.6</v>
      </c>
      <c r="E23" s="313">
        <f t="shared" si="1"/>
        <v>122.06569343065694</v>
      </c>
      <c r="F23" s="323">
        <f t="shared" si="0"/>
        <v>242.0993205</v>
      </c>
      <c r="G23" s="280"/>
      <c r="H23" s="280">
        <v>90117</v>
      </c>
    </row>
    <row r="24" spans="1:13" ht="24.75" customHeight="1">
      <c r="A24" s="158" t="s">
        <v>172</v>
      </c>
      <c r="B24" s="159">
        <v>943</v>
      </c>
      <c r="C24" s="160">
        <v>949</v>
      </c>
      <c r="D24" s="159">
        <v>10601.5</v>
      </c>
      <c r="E24" s="313">
        <f t="shared" si="1"/>
        <v>111.71232876712328</v>
      </c>
      <c r="F24" s="323">
        <f t="shared" si="0"/>
        <v>236.14066350000002</v>
      </c>
      <c r="G24" s="280"/>
      <c r="H24" s="280">
        <v>87899</v>
      </c>
    </row>
    <row r="25" spans="1:13" ht="24.75" customHeight="1">
      <c r="A25" s="182" t="s">
        <v>173</v>
      </c>
      <c r="B25" s="183">
        <v>4385</v>
      </c>
      <c r="C25" s="184">
        <v>4716</v>
      </c>
      <c r="D25" s="183">
        <v>60103.4</v>
      </c>
      <c r="E25" s="313">
        <f t="shared" si="1"/>
        <v>127.44571670907548</v>
      </c>
      <c r="F25" s="369">
        <f t="shared" si="0"/>
        <v>508.4013195</v>
      </c>
      <c r="G25" s="280"/>
      <c r="H25" s="280">
        <v>189243</v>
      </c>
    </row>
    <row r="26" spans="1:13" ht="24.75" customHeight="1">
      <c r="A26" s="12">
        <v>2025</v>
      </c>
      <c r="B26" s="186">
        <f>SUM(B9:B25)</f>
        <v>27631</v>
      </c>
      <c r="C26" s="186">
        <f t="shared" ref="C26:F26" si="2">SUM(C9:C25)</f>
        <v>27785</v>
      </c>
      <c r="D26" s="186">
        <f t="shared" si="2"/>
        <v>423148.272</v>
      </c>
      <c r="E26" s="186">
        <f t="shared" si="2"/>
        <v>1675.4299136945947</v>
      </c>
      <c r="F26" s="186">
        <f t="shared" si="2"/>
        <v>5488.7263605000007</v>
      </c>
      <c r="I26">
        <v>27.631</v>
      </c>
      <c r="J26">
        <v>27.785</v>
      </c>
      <c r="K26">
        <v>423.14800000000002</v>
      </c>
      <c r="L26">
        <v>1.675</v>
      </c>
      <c r="M26">
        <v>5.4889999999999999</v>
      </c>
    </row>
    <row r="27" spans="1:13" ht="24.75" customHeight="1">
      <c r="A27" s="12">
        <f t="shared" ref="A27:A30" si="3">A26-1</f>
        <v>2024</v>
      </c>
      <c r="B27" s="167">
        <v>28628</v>
      </c>
      <c r="C27" s="167">
        <v>28964</v>
      </c>
      <c r="D27" s="167">
        <v>409106.89999999991</v>
      </c>
      <c r="E27" s="187">
        <v>141.24668554067114</v>
      </c>
      <c r="F27" s="188">
        <v>5558.6859400000003</v>
      </c>
    </row>
    <row r="28" spans="1:13" ht="24.75" customHeight="1">
      <c r="A28" s="12">
        <f t="shared" si="3"/>
        <v>2023</v>
      </c>
      <c r="B28" s="169">
        <v>26331</v>
      </c>
      <c r="C28" s="169">
        <v>24182</v>
      </c>
      <c r="D28" s="169">
        <v>289942.05000000005</v>
      </c>
      <c r="E28" s="170">
        <v>118.2875826297123</v>
      </c>
      <c r="F28" s="171">
        <v>5647</v>
      </c>
    </row>
    <row r="29" spans="1:13" ht="24.75" customHeight="1">
      <c r="A29" s="12">
        <f t="shared" si="3"/>
        <v>2022</v>
      </c>
      <c r="B29" s="169">
        <v>30757</v>
      </c>
      <c r="C29" s="169">
        <v>32571</v>
      </c>
      <c r="D29" s="169">
        <v>384448.20000000007</v>
      </c>
      <c r="E29" s="170">
        <v>118.60065816358768</v>
      </c>
      <c r="F29" s="171">
        <v>4775.7517362835215</v>
      </c>
    </row>
    <row r="30" spans="1:13" ht="24.75" customHeight="1">
      <c r="A30" s="12">
        <f t="shared" si="3"/>
        <v>2021</v>
      </c>
      <c r="B30" s="169">
        <v>35654</v>
      </c>
      <c r="C30" s="169">
        <v>34082</v>
      </c>
      <c r="D30" s="169">
        <v>374443.61</v>
      </c>
      <c r="E30" s="170">
        <v>109.865503784989</v>
      </c>
      <c r="F30" s="171">
        <v>4734.121143781801</v>
      </c>
    </row>
    <row r="31" spans="1:13" ht="24.75" customHeight="1">
      <c r="A31" s="172"/>
      <c r="B31" s="169">
        <v>32761</v>
      </c>
      <c r="C31" s="169">
        <v>38951</v>
      </c>
      <c r="D31" s="169">
        <v>401615.5</v>
      </c>
      <c r="E31" s="170">
        <v>103.11</v>
      </c>
      <c r="F31" s="171">
        <v>4293</v>
      </c>
    </row>
    <row r="32" spans="1:13" ht="24.75" customHeight="1">
      <c r="A32" s="158"/>
      <c r="B32" s="159"/>
      <c r="C32" s="159"/>
      <c r="D32" s="159"/>
      <c r="E32" s="161"/>
      <c r="F32" s="181"/>
    </row>
    <row r="33" spans="1:6" ht="24.7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1000"/>
  <sheetViews>
    <sheetView topLeftCell="A19" workbookViewId="0">
      <selection activeCell="H9" sqref="H9"/>
    </sheetView>
  </sheetViews>
  <sheetFormatPr defaultColWidth="14.42578125" defaultRowHeight="15" customHeight="1"/>
  <cols>
    <col min="1" max="1" width="26.85546875" customWidth="1"/>
    <col min="2" max="5" width="8.7109375" customWidth="1"/>
    <col min="6" max="6" width="12.7109375" customWidth="1"/>
    <col min="7" max="26" width="8.7109375" customWidth="1"/>
  </cols>
  <sheetData>
    <row r="1" spans="1:9" ht="14.25" customHeight="1">
      <c r="A1" s="429" t="s">
        <v>193</v>
      </c>
      <c r="B1" s="423"/>
      <c r="C1" s="423"/>
      <c r="D1" s="423"/>
      <c r="E1" s="423"/>
      <c r="F1" s="423"/>
    </row>
    <row r="2" spans="1:9" ht="14.25" customHeight="1">
      <c r="A2" s="429" t="s">
        <v>194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19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20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21" t="s">
        <v>156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318" t="s">
        <v>12</v>
      </c>
      <c r="F8" s="322" t="s">
        <v>35</v>
      </c>
      <c r="G8">
        <v>10</v>
      </c>
      <c r="H8">
        <f>1.82/1000</f>
        <v>1.82E-3</v>
      </c>
      <c r="I8" s="378">
        <f>0.035*52</f>
        <v>1.8200000000000003</v>
      </c>
    </row>
    <row r="9" spans="1:9" ht="24.75" customHeight="1">
      <c r="A9" s="158" t="s">
        <v>157</v>
      </c>
      <c r="B9" s="329">
        <v>0</v>
      </c>
      <c r="C9" s="330">
        <v>0</v>
      </c>
      <c r="D9" s="329">
        <v>0</v>
      </c>
      <c r="E9" s="313">
        <v>0</v>
      </c>
      <c r="F9" s="370">
        <f>$H$8*H9</f>
        <v>118.4547</v>
      </c>
      <c r="G9" s="280"/>
      <c r="H9" s="280">
        <v>65085</v>
      </c>
    </row>
    <row r="10" spans="1:9" ht="24.75" customHeight="1">
      <c r="A10" s="158" t="s">
        <v>158</v>
      </c>
      <c r="B10" s="329">
        <v>0</v>
      </c>
      <c r="C10" s="330">
        <v>0</v>
      </c>
      <c r="D10" s="329">
        <v>0</v>
      </c>
      <c r="E10" s="313">
        <v>0</v>
      </c>
      <c r="F10" s="371">
        <f t="shared" ref="F10:F25" si="0">$H$8*H10</f>
        <v>194.78185999999999</v>
      </c>
      <c r="G10" s="280"/>
      <c r="H10" s="280">
        <v>107023</v>
      </c>
    </row>
    <row r="11" spans="1:9" ht="24.75" customHeight="1">
      <c r="A11" s="158" t="s">
        <v>159</v>
      </c>
      <c r="B11" s="329">
        <v>0</v>
      </c>
      <c r="C11" s="330">
        <v>0</v>
      </c>
      <c r="D11" s="329">
        <v>0</v>
      </c>
      <c r="E11" s="313">
        <v>0</v>
      </c>
      <c r="F11" s="371">
        <f t="shared" si="0"/>
        <v>213.30036000000001</v>
      </c>
      <c r="G11" s="280"/>
      <c r="H11" s="280">
        <v>117198</v>
      </c>
    </row>
    <row r="12" spans="1:9" ht="24.75" customHeight="1">
      <c r="A12" s="158" t="s">
        <v>160</v>
      </c>
      <c r="B12" s="329">
        <v>0</v>
      </c>
      <c r="C12" s="330">
        <v>0</v>
      </c>
      <c r="D12" s="329">
        <v>0</v>
      </c>
      <c r="E12" s="313">
        <v>0</v>
      </c>
      <c r="F12" s="371">
        <f t="shared" si="0"/>
        <v>212.02271999999999</v>
      </c>
      <c r="G12" s="280"/>
      <c r="H12" s="280">
        <v>116496</v>
      </c>
    </row>
    <row r="13" spans="1:9" ht="24.75" customHeight="1">
      <c r="A13" s="158" t="s">
        <v>161</v>
      </c>
      <c r="B13" s="329">
        <v>0</v>
      </c>
      <c r="C13" s="330">
        <v>0</v>
      </c>
      <c r="D13" s="329">
        <v>0</v>
      </c>
      <c r="E13" s="313">
        <v>0</v>
      </c>
      <c r="F13" s="371">
        <f t="shared" si="0"/>
        <v>131.05456000000001</v>
      </c>
      <c r="G13" s="280"/>
      <c r="H13" s="280">
        <v>72008</v>
      </c>
    </row>
    <row r="14" spans="1:9" ht="24.75" customHeight="1">
      <c r="A14" s="158" t="s">
        <v>162</v>
      </c>
      <c r="B14" s="329">
        <v>0</v>
      </c>
      <c r="C14" s="330">
        <v>0</v>
      </c>
      <c r="D14" s="329">
        <v>0</v>
      </c>
      <c r="E14" s="313">
        <v>0</v>
      </c>
      <c r="F14" s="371">
        <f t="shared" si="0"/>
        <v>144.8083</v>
      </c>
      <c r="G14" s="280"/>
      <c r="H14" s="280">
        <v>79565</v>
      </c>
    </row>
    <row r="15" spans="1:9" ht="24.75" customHeight="1">
      <c r="A15" s="158" t="s">
        <v>163</v>
      </c>
      <c r="B15" s="329">
        <v>0</v>
      </c>
      <c r="C15" s="330">
        <v>0</v>
      </c>
      <c r="D15" s="329">
        <v>0</v>
      </c>
      <c r="E15" s="313">
        <v>0</v>
      </c>
      <c r="F15" s="371">
        <f t="shared" si="0"/>
        <v>296.65454</v>
      </c>
      <c r="G15" s="280"/>
      <c r="H15" s="280">
        <v>162997</v>
      </c>
    </row>
    <row r="16" spans="1:9" ht="24.75" customHeight="1">
      <c r="A16" s="158" t="s">
        <v>164</v>
      </c>
      <c r="B16" s="329">
        <v>0</v>
      </c>
      <c r="C16" s="330">
        <v>0</v>
      </c>
      <c r="D16" s="329">
        <v>0</v>
      </c>
      <c r="E16" s="313">
        <v>0</v>
      </c>
      <c r="F16" s="371">
        <f t="shared" si="0"/>
        <v>267.23788000000002</v>
      </c>
      <c r="G16" s="280"/>
      <c r="H16" s="280">
        <v>146834</v>
      </c>
    </row>
    <row r="17" spans="1:8" ht="24.75" customHeight="1">
      <c r="A17" s="158" t="s">
        <v>165</v>
      </c>
      <c r="B17" s="329">
        <v>0</v>
      </c>
      <c r="C17" s="330">
        <v>0</v>
      </c>
      <c r="D17" s="329">
        <v>0</v>
      </c>
      <c r="E17" s="313">
        <v>0</v>
      </c>
      <c r="F17" s="371">
        <f t="shared" si="0"/>
        <v>241.18639999999999</v>
      </c>
      <c r="G17" s="280"/>
      <c r="H17" s="280">
        <v>132520</v>
      </c>
    </row>
    <row r="18" spans="1:8" ht="24.75" customHeight="1">
      <c r="A18" s="158" t="s">
        <v>166</v>
      </c>
      <c r="B18" s="329">
        <v>0</v>
      </c>
      <c r="C18" s="330">
        <v>0</v>
      </c>
      <c r="D18" s="329">
        <v>0</v>
      </c>
      <c r="E18" s="313">
        <v>0</v>
      </c>
      <c r="F18" s="371">
        <f t="shared" si="0"/>
        <v>261.02803999999998</v>
      </c>
      <c r="G18" s="280"/>
      <c r="H18" s="280">
        <v>143422</v>
      </c>
    </row>
    <row r="19" spans="1:8" ht="24.75" customHeight="1">
      <c r="A19" s="158" t="s">
        <v>167</v>
      </c>
      <c r="B19" s="329">
        <v>0</v>
      </c>
      <c r="C19" s="330">
        <v>0</v>
      </c>
      <c r="D19" s="329">
        <v>0</v>
      </c>
      <c r="E19" s="313">
        <v>0</v>
      </c>
      <c r="F19" s="371">
        <f t="shared" si="0"/>
        <v>197.85947999999999</v>
      </c>
      <c r="G19" s="280"/>
      <c r="H19" s="280">
        <v>108714</v>
      </c>
    </row>
    <row r="20" spans="1:8" ht="24.75" customHeight="1">
      <c r="A20" s="158" t="s">
        <v>168</v>
      </c>
      <c r="B20" s="329">
        <v>0</v>
      </c>
      <c r="C20" s="330">
        <v>0</v>
      </c>
      <c r="D20" s="329">
        <v>0</v>
      </c>
      <c r="E20" s="313">
        <v>0</v>
      </c>
      <c r="F20" s="371">
        <f t="shared" si="0"/>
        <v>127.19616000000001</v>
      </c>
      <c r="G20" s="280"/>
      <c r="H20" s="280">
        <v>69888</v>
      </c>
    </row>
    <row r="21" spans="1:8" ht="24.75" customHeight="1">
      <c r="A21" s="158" t="s">
        <v>169</v>
      </c>
      <c r="B21" s="329">
        <v>0</v>
      </c>
      <c r="C21" s="330">
        <v>0</v>
      </c>
      <c r="D21" s="329">
        <v>0</v>
      </c>
      <c r="E21" s="313">
        <v>0</v>
      </c>
      <c r="F21" s="371">
        <f t="shared" si="0"/>
        <v>339.50098000000003</v>
      </c>
      <c r="G21" s="280"/>
      <c r="H21" s="280">
        <v>186539</v>
      </c>
    </row>
    <row r="22" spans="1:8" ht="24.75" customHeight="1">
      <c r="A22" s="158" t="s">
        <v>170</v>
      </c>
      <c r="B22" s="329">
        <v>0</v>
      </c>
      <c r="C22" s="330">
        <v>0</v>
      </c>
      <c r="D22" s="329">
        <v>0</v>
      </c>
      <c r="E22" s="313">
        <v>0</v>
      </c>
      <c r="F22" s="371">
        <f t="shared" si="0"/>
        <v>304.90278000000001</v>
      </c>
      <c r="G22" s="280"/>
      <c r="H22" s="280">
        <v>167529</v>
      </c>
    </row>
    <row r="23" spans="1:8" ht="24.75" customHeight="1">
      <c r="A23" s="158" t="s">
        <v>171</v>
      </c>
      <c r="B23" s="329">
        <v>0</v>
      </c>
      <c r="C23" s="330">
        <v>0</v>
      </c>
      <c r="D23" s="329">
        <v>0</v>
      </c>
      <c r="E23" s="313">
        <v>0</v>
      </c>
      <c r="F23" s="371">
        <f t="shared" si="0"/>
        <v>164.01293999999999</v>
      </c>
      <c r="G23" s="280"/>
      <c r="H23" s="280">
        <v>90117</v>
      </c>
    </row>
    <row r="24" spans="1:8" ht="24.75" customHeight="1">
      <c r="A24" s="158" t="s">
        <v>172</v>
      </c>
      <c r="B24" s="329">
        <v>0</v>
      </c>
      <c r="C24" s="330">
        <v>0</v>
      </c>
      <c r="D24" s="329">
        <v>0</v>
      </c>
      <c r="E24" s="313">
        <v>0</v>
      </c>
      <c r="F24" s="371">
        <f t="shared" si="0"/>
        <v>159.97618</v>
      </c>
      <c r="G24" s="280"/>
      <c r="H24" s="280">
        <v>87899</v>
      </c>
    </row>
    <row r="25" spans="1:8" ht="24.75" customHeight="1">
      <c r="A25" s="182" t="s">
        <v>173</v>
      </c>
      <c r="B25" s="329">
        <v>0</v>
      </c>
      <c r="C25" s="330">
        <v>0</v>
      </c>
      <c r="D25" s="329">
        <v>0</v>
      </c>
      <c r="E25" s="313">
        <v>0</v>
      </c>
      <c r="F25" s="372">
        <f t="shared" si="0"/>
        <v>344.42225999999999</v>
      </c>
      <c r="G25" s="280"/>
      <c r="H25" s="280">
        <v>189243</v>
      </c>
    </row>
    <row r="26" spans="1:8" ht="24.75" customHeight="1">
      <c r="A26" s="12">
        <v>2025</v>
      </c>
      <c r="B26" s="186">
        <f>SUM(B9:B25)</f>
        <v>0</v>
      </c>
      <c r="C26" s="186">
        <f t="shared" ref="C26:F26" si="1">SUM(C9:C25)</f>
        <v>0</v>
      </c>
      <c r="D26" s="186">
        <f t="shared" si="1"/>
        <v>0</v>
      </c>
      <c r="E26" s="186">
        <f t="shared" si="1"/>
        <v>0</v>
      </c>
      <c r="F26" s="326">
        <f t="shared" si="1"/>
        <v>3718.4001400000006</v>
      </c>
    </row>
    <row r="27" spans="1:8" ht="24.75" customHeight="1">
      <c r="A27" s="12">
        <f t="shared" ref="A27:A30" si="2">A26-1</f>
        <v>2024</v>
      </c>
      <c r="B27" s="167">
        <v>0</v>
      </c>
      <c r="C27" s="167">
        <v>0</v>
      </c>
      <c r="D27" s="167">
        <v>0</v>
      </c>
      <c r="E27" s="187">
        <v>0</v>
      </c>
      <c r="F27" s="327">
        <v>3409.6028999999999</v>
      </c>
    </row>
    <row r="28" spans="1:8" ht="24.75" customHeight="1">
      <c r="A28" s="12">
        <f t="shared" si="2"/>
        <v>2023</v>
      </c>
      <c r="B28" s="169">
        <v>0</v>
      </c>
      <c r="C28" s="169">
        <v>0</v>
      </c>
      <c r="D28" s="169">
        <v>0</v>
      </c>
      <c r="E28" s="170">
        <v>0</v>
      </c>
      <c r="F28" s="324">
        <v>4583</v>
      </c>
    </row>
    <row r="29" spans="1:8" ht="24.75" customHeight="1">
      <c r="A29" s="12">
        <f t="shared" si="2"/>
        <v>2022</v>
      </c>
      <c r="B29" s="169">
        <v>0</v>
      </c>
      <c r="C29" s="169">
        <v>7.6</v>
      </c>
      <c r="D29" s="169">
        <v>54</v>
      </c>
      <c r="E29" s="170">
        <v>71.05263157894737</v>
      </c>
      <c r="F29" s="324">
        <v>2731.6005909056039</v>
      </c>
    </row>
    <row r="30" spans="1:8" ht="24.75" customHeight="1">
      <c r="A30" s="12">
        <f t="shared" si="2"/>
        <v>2021</v>
      </c>
      <c r="B30" s="169">
        <v>60</v>
      </c>
      <c r="C30" s="169">
        <v>52</v>
      </c>
      <c r="D30" s="169">
        <v>332.6</v>
      </c>
      <c r="E30" s="170">
        <v>63.961538461538503</v>
      </c>
      <c r="F30" s="324">
        <v>2707.7890200039001</v>
      </c>
    </row>
    <row r="31" spans="1:8" ht="24.75" customHeight="1">
      <c r="A31" s="172"/>
      <c r="B31" s="169">
        <v>45</v>
      </c>
      <c r="C31" s="169">
        <v>77</v>
      </c>
      <c r="D31" s="169">
        <v>507</v>
      </c>
      <c r="E31" s="170">
        <v>67.78</v>
      </c>
      <c r="F31" s="324">
        <v>2455</v>
      </c>
    </row>
    <row r="32" spans="1:8" ht="24.75" customHeight="1">
      <c r="A32" s="158"/>
      <c r="B32" s="159"/>
      <c r="C32" s="159"/>
      <c r="D32" s="159"/>
      <c r="E32" s="161"/>
      <c r="F32" s="325"/>
    </row>
    <row r="33" spans="1:6" ht="24.75" customHeight="1">
      <c r="A33" s="173"/>
      <c r="B33" s="174"/>
      <c r="C33" s="174"/>
      <c r="D33" s="174"/>
      <c r="E33" s="176"/>
      <c r="F33" s="328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000"/>
  <sheetViews>
    <sheetView topLeftCell="A19" workbookViewId="0">
      <selection activeCell="I26" sqref="I26:M26"/>
    </sheetView>
  </sheetViews>
  <sheetFormatPr defaultColWidth="14.42578125" defaultRowHeight="15" customHeight="1"/>
  <cols>
    <col min="1" max="1" width="20" customWidth="1"/>
    <col min="2" max="4" width="8.7109375" customWidth="1"/>
    <col min="5" max="5" width="13.140625" bestFit="1" customWidth="1"/>
    <col min="6" max="6" width="13.42578125" customWidth="1"/>
    <col min="7" max="26" width="8.7109375" customWidth="1"/>
  </cols>
  <sheetData>
    <row r="1" spans="1:9" ht="14.25" customHeight="1">
      <c r="A1" s="429" t="s">
        <v>195</v>
      </c>
      <c r="B1" s="423"/>
      <c r="C1" s="423"/>
      <c r="D1" s="423"/>
      <c r="E1" s="423"/>
      <c r="F1" s="423"/>
    </row>
    <row r="2" spans="1:9" ht="14.25" customHeight="1">
      <c r="A2" s="429" t="s">
        <v>196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04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05" t="s">
        <v>178</v>
      </c>
      <c r="H6" s="151"/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06" t="s">
        <v>156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07" t="s">
        <v>35</v>
      </c>
      <c r="G8" s="301">
        <v>10</v>
      </c>
      <c r="H8" s="314">
        <f>0.468/1000</f>
        <v>4.6800000000000005E-4</v>
      </c>
      <c r="I8" s="378">
        <f>0.009*52</f>
        <v>0.46799999999999997</v>
      </c>
    </row>
    <row r="9" spans="1:9" ht="24.75" customHeight="1">
      <c r="A9" s="158" t="s">
        <v>157</v>
      </c>
      <c r="B9" s="159">
        <v>0</v>
      </c>
      <c r="C9" s="160">
        <v>0</v>
      </c>
      <c r="D9" s="159">
        <v>0</v>
      </c>
      <c r="E9" s="159">
        <v>0</v>
      </c>
      <c r="F9" s="353">
        <f>G9*$H$8</f>
        <v>30.459780000000002</v>
      </c>
      <c r="G9" s="301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59">
        <v>0</v>
      </c>
      <c r="E10" s="159">
        <v>0</v>
      </c>
      <c r="F10" s="354">
        <f>G10*$H$8</f>
        <v>50.086764000000002</v>
      </c>
      <c r="G10" s="301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354">
        <f t="shared" ref="F11:F25" si="0">G11*$H$8</f>
        <v>54.848664000000007</v>
      </c>
      <c r="G11" s="301">
        <v>117198</v>
      </c>
    </row>
    <row r="12" spans="1:9" ht="24.75" customHeight="1">
      <c r="A12" s="158" t="s">
        <v>160</v>
      </c>
      <c r="B12" s="159">
        <v>81</v>
      </c>
      <c r="C12" s="160">
        <v>81</v>
      </c>
      <c r="D12" s="159">
        <v>864.9</v>
      </c>
      <c r="E12" s="313">
        <f>(D12*$G$8)/C12</f>
        <v>106.77777777777777</v>
      </c>
      <c r="F12" s="354">
        <f t="shared" si="0"/>
        <v>54.520128000000007</v>
      </c>
      <c r="G12" s="301">
        <v>116496</v>
      </c>
    </row>
    <row r="13" spans="1:9" ht="24.75" customHeight="1">
      <c r="A13" s="158" t="s">
        <v>161</v>
      </c>
      <c r="B13" s="159">
        <v>1226</v>
      </c>
      <c r="C13" s="160">
        <v>1228</v>
      </c>
      <c r="D13" s="159">
        <v>13504</v>
      </c>
      <c r="E13" s="313">
        <f t="shared" ref="E13" si="1">(D13*$G$8)/C13</f>
        <v>109.96742671009773</v>
      </c>
      <c r="F13" s="354">
        <f t="shared" si="0"/>
        <v>33.699744000000003</v>
      </c>
      <c r="G13" s="301">
        <v>72008</v>
      </c>
    </row>
    <row r="14" spans="1:9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354">
        <f t="shared" si="0"/>
        <v>37.236420000000003</v>
      </c>
      <c r="G14" s="301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354">
        <f t="shared" si="0"/>
        <v>76.282596000000012</v>
      </c>
      <c r="G15" s="301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354">
        <f t="shared" si="0"/>
        <v>68.718312000000012</v>
      </c>
      <c r="G16" s="301">
        <v>146834</v>
      </c>
    </row>
    <row r="17" spans="1:7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354">
        <f t="shared" si="0"/>
        <v>62.019360000000006</v>
      </c>
      <c r="G17" s="301">
        <v>132520</v>
      </c>
    </row>
    <row r="18" spans="1:7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354">
        <f t="shared" si="0"/>
        <v>67.121496000000008</v>
      </c>
      <c r="G18" s="301">
        <v>143422</v>
      </c>
    </row>
    <row r="19" spans="1:7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354">
        <f t="shared" si="0"/>
        <v>50.878152000000007</v>
      </c>
      <c r="G19" s="301">
        <v>108714</v>
      </c>
    </row>
    <row r="20" spans="1:7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354">
        <f t="shared" si="0"/>
        <v>32.707584000000004</v>
      </c>
      <c r="G20" s="301">
        <v>69888</v>
      </c>
    </row>
    <row r="21" spans="1:7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354">
        <f t="shared" si="0"/>
        <v>87.300252000000015</v>
      </c>
      <c r="G21" s="301">
        <v>186539</v>
      </c>
    </row>
    <row r="22" spans="1:7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354">
        <f t="shared" si="0"/>
        <v>78.403572000000011</v>
      </c>
      <c r="G22" s="301">
        <v>167529</v>
      </c>
    </row>
    <row r="23" spans="1:7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54">
        <f t="shared" si="0"/>
        <v>42.174756000000002</v>
      </c>
      <c r="G23" s="301">
        <v>90117</v>
      </c>
    </row>
    <row r="24" spans="1:7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354">
        <f t="shared" si="0"/>
        <v>41.136732000000002</v>
      </c>
      <c r="G24" s="301">
        <v>87899</v>
      </c>
    </row>
    <row r="25" spans="1:7" ht="24.75" customHeight="1">
      <c r="A25" s="182" t="s">
        <v>173</v>
      </c>
      <c r="B25" s="183">
        <v>0</v>
      </c>
      <c r="C25" s="184">
        <v>0</v>
      </c>
      <c r="D25" s="159">
        <v>0</v>
      </c>
      <c r="E25" s="159">
        <v>0</v>
      </c>
      <c r="F25" s="354">
        <f t="shared" si="0"/>
        <v>88.565724000000003</v>
      </c>
      <c r="G25" s="301">
        <v>189243</v>
      </c>
    </row>
    <row r="26" spans="1:7" ht="24.75" customHeight="1">
      <c r="A26" s="12">
        <v>2025</v>
      </c>
      <c r="B26" s="186">
        <f>SUM(B9:B25)</f>
        <v>1307</v>
      </c>
      <c r="C26" s="186">
        <f>SUM(C9:C25)</f>
        <v>1309</v>
      </c>
      <c r="D26" s="186">
        <f>SUM(D9:D25)</f>
        <v>14368.9</v>
      </c>
      <c r="E26" s="186">
        <f>SUM(E9:E25)</f>
        <v>216.7452044878755</v>
      </c>
      <c r="F26" s="316">
        <f>SUM(F9:F25)</f>
        <v>956.16003600000022</v>
      </c>
    </row>
    <row r="27" spans="1:7" ht="24.75" customHeight="1">
      <c r="A27" s="12">
        <f t="shared" ref="A27:A30" si="2">A26-1</f>
        <v>2024</v>
      </c>
      <c r="B27" s="167">
        <v>1294</v>
      </c>
      <c r="C27" s="167">
        <v>1318</v>
      </c>
      <c r="D27" s="167">
        <v>14528.45</v>
      </c>
      <c r="E27" s="187">
        <v>110.23103186646433</v>
      </c>
      <c r="F27" s="310">
        <v>4298.1660799999991</v>
      </c>
    </row>
    <row r="28" spans="1:7" ht="24.75" customHeight="1">
      <c r="A28" s="12">
        <f t="shared" si="2"/>
        <v>2023</v>
      </c>
      <c r="B28" s="169">
        <v>1500</v>
      </c>
      <c r="C28" s="169">
        <v>1514</v>
      </c>
      <c r="D28" s="169">
        <v>17058.2</v>
      </c>
      <c r="E28" s="170">
        <v>109.96</v>
      </c>
      <c r="F28" s="311">
        <v>4263.2137599999996</v>
      </c>
    </row>
    <row r="29" spans="1:7" ht="24.75" customHeight="1">
      <c r="A29" s="12">
        <f t="shared" si="2"/>
        <v>2022</v>
      </c>
      <c r="B29" s="169">
        <v>1592</v>
      </c>
      <c r="C29" s="169">
        <v>1601</v>
      </c>
      <c r="D29" s="169">
        <v>17434.2</v>
      </c>
      <c r="E29" s="170">
        <v>107.9990125082291</v>
      </c>
      <c r="F29" s="311">
        <v>4205.5730785223213</v>
      </c>
    </row>
    <row r="30" spans="1:7" ht="24.75" customHeight="1">
      <c r="A30" s="12">
        <f t="shared" si="2"/>
        <v>2021</v>
      </c>
      <c r="B30" s="169">
        <v>1570</v>
      </c>
      <c r="C30" s="169">
        <v>1415</v>
      </c>
      <c r="D30" s="169">
        <v>16414.7</v>
      </c>
      <c r="E30" s="170">
        <v>116.00494699646644</v>
      </c>
      <c r="F30" s="311">
        <v>4168.9127769119996</v>
      </c>
    </row>
    <row r="31" spans="1:7" ht="24.75" customHeight="1">
      <c r="A31" s="172"/>
      <c r="B31" s="169"/>
      <c r="C31" s="169"/>
      <c r="D31" s="169"/>
      <c r="E31" s="170"/>
      <c r="F31" s="311"/>
    </row>
    <row r="32" spans="1:7" ht="24.75" customHeight="1">
      <c r="A32" s="158"/>
      <c r="B32" s="159"/>
      <c r="C32" s="159"/>
      <c r="D32" s="159"/>
      <c r="E32" s="161"/>
      <c r="F32" s="309"/>
    </row>
    <row r="33" spans="1:6" ht="24.75" customHeight="1">
      <c r="A33" s="173"/>
      <c r="B33" s="174"/>
      <c r="C33" s="174"/>
      <c r="D33" s="174"/>
      <c r="E33" s="176"/>
      <c r="F33" s="312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1000"/>
  <sheetViews>
    <sheetView topLeftCell="A17" workbookViewId="0">
      <selection activeCell="B26" sqref="B26:F26"/>
    </sheetView>
  </sheetViews>
  <sheetFormatPr defaultColWidth="14.42578125" defaultRowHeight="15" customHeight="1"/>
  <cols>
    <col min="1" max="1" width="23.28515625" customWidth="1"/>
    <col min="2" max="26" width="8.7109375" customWidth="1"/>
  </cols>
  <sheetData>
    <row r="1" spans="1:9" ht="14.25" customHeight="1">
      <c r="A1" s="429" t="s">
        <v>197</v>
      </c>
      <c r="B1" s="423"/>
      <c r="C1" s="423"/>
      <c r="D1" s="423"/>
      <c r="E1" s="423"/>
      <c r="F1" s="423"/>
    </row>
    <row r="2" spans="1:9" ht="14.25" customHeight="1">
      <c r="A2" s="429" t="s">
        <v>198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>
        <v>10</v>
      </c>
      <c r="H8" s="350">
        <f>1.144/1000</f>
        <v>1.1439999999999998E-3</v>
      </c>
      <c r="I8" s="378">
        <f>0.022*52</f>
        <v>1.1439999999999999</v>
      </c>
    </row>
    <row r="9" spans="1:9" ht="24.75" customHeight="1">
      <c r="A9" s="158" t="s">
        <v>157</v>
      </c>
      <c r="B9" s="159">
        <v>0</v>
      </c>
      <c r="C9" s="160">
        <v>0</v>
      </c>
      <c r="D9" s="160">
        <v>0</v>
      </c>
      <c r="E9" s="160">
        <v>0</v>
      </c>
      <c r="F9" s="162">
        <f>$H$8*H9</f>
        <v>74.457239999999985</v>
      </c>
      <c r="H9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60">
        <v>0</v>
      </c>
      <c r="E10" s="160">
        <v>0</v>
      </c>
      <c r="F10" s="162">
        <f t="shared" ref="F10:F25" si="0">$H$8*H10</f>
        <v>122.43431199999998</v>
      </c>
      <c r="H10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60">
        <v>0</v>
      </c>
      <c r="E11" s="160">
        <v>0</v>
      </c>
      <c r="F11" s="162">
        <f t="shared" si="0"/>
        <v>134.07451199999997</v>
      </c>
      <c r="H11">
        <v>117198</v>
      </c>
    </row>
    <row r="12" spans="1:9" ht="24.75" customHeight="1">
      <c r="A12" s="158" t="s">
        <v>160</v>
      </c>
      <c r="B12" s="159">
        <v>480</v>
      </c>
      <c r="C12" s="160">
        <v>491</v>
      </c>
      <c r="D12" s="159">
        <v>8828</v>
      </c>
      <c r="E12" s="180">
        <f>D12*G8/C12</f>
        <v>179.79633401221997</v>
      </c>
      <c r="F12" s="162">
        <f t="shared" si="0"/>
        <v>133.27142399999997</v>
      </c>
      <c r="H12">
        <v>116496</v>
      </c>
    </row>
    <row r="13" spans="1:9" ht="24.75" customHeight="1">
      <c r="A13" s="158" t="s">
        <v>161</v>
      </c>
      <c r="B13" s="159">
        <v>1831</v>
      </c>
      <c r="C13" s="160">
        <v>1770</v>
      </c>
      <c r="D13" s="159">
        <v>36669</v>
      </c>
      <c r="E13" s="180">
        <f>D13*G8/C13</f>
        <v>207.16949152542372</v>
      </c>
      <c r="F13" s="162">
        <f t="shared" si="0"/>
        <v>82.377151999999981</v>
      </c>
      <c r="H13">
        <v>72008</v>
      </c>
    </row>
    <row r="14" spans="1:9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162">
        <f t="shared" si="0"/>
        <v>91.022359999999992</v>
      </c>
      <c r="H14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162">
        <f t="shared" si="0"/>
        <v>186.46856799999998</v>
      </c>
      <c r="H15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162">
        <f t="shared" si="0"/>
        <v>167.97809599999997</v>
      </c>
      <c r="H16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162">
        <f t="shared" si="0"/>
        <v>151.60287999999997</v>
      </c>
      <c r="H17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162">
        <f t="shared" si="0"/>
        <v>164.07476799999998</v>
      </c>
      <c r="H18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162">
        <f t="shared" si="0"/>
        <v>124.36881599999998</v>
      </c>
      <c r="H19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162">
        <f t="shared" si="0"/>
        <v>79.951871999999995</v>
      </c>
      <c r="H20">
        <v>69888</v>
      </c>
    </row>
    <row r="21" spans="1:8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162">
        <f t="shared" si="0"/>
        <v>213.40061599999996</v>
      </c>
      <c r="H21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162">
        <f t="shared" si="0"/>
        <v>191.65317599999997</v>
      </c>
      <c r="H22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162">
        <f t="shared" si="0"/>
        <v>103.09384799999998</v>
      </c>
      <c r="H23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162">
        <f t="shared" si="0"/>
        <v>100.55645599999998</v>
      </c>
      <c r="H24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59">
        <v>0</v>
      </c>
      <c r="E25" s="159">
        <v>0</v>
      </c>
      <c r="F25" s="162">
        <f t="shared" si="0"/>
        <v>216.49399199999996</v>
      </c>
      <c r="H25">
        <v>189243</v>
      </c>
    </row>
    <row r="26" spans="1:8" ht="24.75" customHeight="1">
      <c r="A26" s="12">
        <v>2025</v>
      </c>
      <c r="B26" s="186">
        <f>SUM(B9:B25)</f>
        <v>2311</v>
      </c>
      <c r="C26" s="186">
        <f t="shared" ref="C26:F26" si="1">SUM(C9:C25)</f>
        <v>2261</v>
      </c>
      <c r="D26" s="186">
        <f t="shared" si="1"/>
        <v>45497</v>
      </c>
      <c r="E26" s="186">
        <f t="shared" si="1"/>
        <v>386.9658255376437</v>
      </c>
      <c r="F26" s="186">
        <f t="shared" si="1"/>
        <v>2337.280088</v>
      </c>
    </row>
    <row r="27" spans="1:8" ht="24.75" customHeight="1">
      <c r="A27" s="12">
        <f t="shared" ref="A27:A30" si="2">A26-1</f>
        <v>2024</v>
      </c>
      <c r="B27" s="167">
        <v>2249</v>
      </c>
      <c r="C27" s="167">
        <v>2182</v>
      </c>
      <c r="D27" s="167">
        <v>44409.1</v>
      </c>
      <c r="E27" s="187">
        <v>203.52474793767186</v>
      </c>
      <c r="F27" s="188">
        <v>3485.9700429840436</v>
      </c>
    </row>
    <row r="28" spans="1:8" ht="24.75" customHeight="1">
      <c r="A28" s="12">
        <f t="shared" si="2"/>
        <v>2023</v>
      </c>
      <c r="B28" s="169">
        <v>2203</v>
      </c>
      <c r="C28" s="169">
        <v>2274</v>
      </c>
      <c r="D28" s="169">
        <v>44803.5</v>
      </c>
      <c r="E28" s="170">
        <v>190.85</v>
      </c>
      <c r="F28" s="171">
        <v>3457.6224318901532</v>
      </c>
    </row>
    <row r="29" spans="1:8" ht="24.75" customHeight="1">
      <c r="A29" s="12">
        <f t="shared" si="2"/>
        <v>2022</v>
      </c>
      <c r="B29" s="169">
        <v>2301</v>
      </c>
      <c r="C29" s="169">
        <v>2355</v>
      </c>
      <c r="D29" s="169">
        <v>46686.5</v>
      </c>
      <c r="E29" s="170">
        <v>191.75834701696772</v>
      </c>
      <c r="F29" s="171">
        <v>2951.9887955012446</v>
      </c>
    </row>
    <row r="30" spans="1:8" ht="24.75" customHeight="1">
      <c r="A30" s="12">
        <f t="shared" si="2"/>
        <v>2021</v>
      </c>
      <c r="B30" s="169">
        <v>2094</v>
      </c>
      <c r="C30" s="169">
        <v>2279</v>
      </c>
      <c r="D30" s="169">
        <v>45238.5</v>
      </c>
      <c r="E30" s="170">
        <v>198.50153576129901</v>
      </c>
      <c r="F30" s="171">
        <v>2926.256083794</v>
      </c>
    </row>
    <row r="31" spans="1:8" ht="24.75" customHeight="1">
      <c r="A31" s="172"/>
      <c r="B31" s="169"/>
      <c r="C31" s="169"/>
      <c r="D31" s="169"/>
      <c r="E31" s="170"/>
      <c r="F31" s="171"/>
    </row>
    <row r="32" spans="1:8" ht="24.75" customHeight="1">
      <c r="A32" s="158"/>
      <c r="B32" s="159"/>
      <c r="C32" s="159"/>
      <c r="D32" s="159"/>
      <c r="E32" s="161"/>
      <c r="F32" s="181"/>
    </row>
    <row r="33" spans="1:6" ht="24.7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1000"/>
  <sheetViews>
    <sheetView topLeftCell="A16" workbookViewId="0">
      <selection activeCell="B26" sqref="B26:F26"/>
    </sheetView>
  </sheetViews>
  <sheetFormatPr defaultColWidth="14.42578125" defaultRowHeight="15" customHeight="1"/>
  <cols>
    <col min="1" max="1" width="22.7109375" customWidth="1"/>
    <col min="2" max="26" width="8.7109375" customWidth="1"/>
  </cols>
  <sheetData>
    <row r="1" spans="1:10" ht="14.25" customHeight="1">
      <c r="A1" s="429" t="s">
        <v>199</v>
      </c>
      <c r="B1" s="423"/>
      <c r="C1" s="423"/>
      <c r="D1" s="423"/>
      <c r="E1" s="423"/>
      <c r="F1" s="423"/>
    </row>
    <row r="2" spans="1:10" ht="14.25" customHeight="1">
      <c r="A2" s="429" t="s">
        <v>200</v>
      </c>
      <c r="B2" s="423"/>
      <c r="C2" s="423"/>
      <c r="D2" s="423"/>
      <c r="E2" s="423"/>
      <c r="F2" s="423"/>
    </row>
    <row r="3" spans="1:10" ht="14.25" customHeight="1">
      <c r="A3" s="429" t="s">
        <v>102</v>
      </c>
      <c r="B3" s="423"/>
      <c r="C3" s="423"/>
      <c r="D3" s="423"/>
      <c r="E3" s="423"/>
      <c r="F3" s="423"/>
    </row>
    <row r="4" spans="1:10" ht="14.25" customHeight="1">
      <c r="A4" s="137"/>
      <c r="B4" s="141"/>
      <c r="C4" s="122"/>
      <c r="D4" s="122"/>
      <c r="E4" s="123"/>
      <c r="F4" s="122"/>
    </row>
    <row r="5" spans="1:10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0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0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  <c r="H7" s="356" t="s">
        <v>251</v>
      </c>
      <c r="I7" s="379" t="s">
        <v>250</v>
      </c>
    </row>
    <row r="8" spans="1:10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>
        <v>10</v>
      </c>
      <c r="H8" s="380">
        <f>1.04/1000</f>
        <v>1.0400000000000001E-3</v>
      </c>
      <c r="I8" s="359">
        <f>0.02*52</f>
        <v>1.04</v>
      </c>
      <c r="J8" s="378">
        <v>0.02</v>
      </c>
    </row>
    <row r="9" spans="1:10" ht="24.75" customHeight="1">
      <c r="A9" s="158" t="s">
        <v>157</v>
      </c>
      <c r="B9" s="159">
        <v>0</v>
      </c>
      <c r="C9" s="160">
        <v>0</v>
      </c>
      <c r="D9" s="160">
        <v>0</v>
      </c>
      <c r="E9" s="160">
        <v>0</v>
      </c>
      <c r="F9" s="162">
        <f>$H$8*H9</f>
        <v>67.688400000000001</v>
      </c>
      <c r="H9">
        <v>65085</v>
      </c>
    </row>
    <row r="10" spans="1:10" ht="24.75" customHeight="1">
      <c r="A10" s="158" t="s">
        <v>158</v>
      </c>
      <c r="B10" s="159">
        <v>0</v>
      </c>
      <c r="C10" s="160">
        <v>0</v>
      </c>
      <c r="D10" s="160">
        <v>0</v>
      </c>
      <c r="E10" s="160">
        <v>0</v>
      </c>
      <c r="F10" s="162">
        <f t="shared" ref="F10:F25" si="0">$H$8*H10</f>
        <v>111.30392000000002</v>
      </c>
      <c r="H10">
        <v>107023</v>
      </c>
    </row>
    <row r="11" spans="1:10" ht="24.75" customHeight="1">
      <c r="A11" s="158" t="s">
        <v>159</v>
      </c>
      <c r="B11" s="159">
        <v>0</v>
      </c>
      <c r="C11" s="160">
        <v>0</v>
      </c>
      <c r="D11" s="160">
        <v>0</v>
      </c>
      <c r="E11" s="160">
        <v>0</v>
      </c>
      <c r="F11" s="162">
        <f t="shared" si="0"/>
        <v>121.88592000000001</v>
      </c>
      <c r="H11">
        <v>117198</v>
      </c>
    </row>
    <row r="12" spans="1:10" ht="24.75" customHeight="1">
      <c r="A12" s="158" t="s">
        <v>160</v>
      </c>
      <c r="B12" s="159">
        <v>261</v>
      </c>
      <c r="C12" s="160">
        <v>253</v>
      </c>
      <c r="D12" s="159">
        <v>5313</v>
      </c>
      <c r="E12" s="180">
        <f>D12*G8/C12</f>
        <v>210</v>
      </c>
      <c r="F12" s="162">
        <f t="shared" si="0"/>
        <v>121.15584000000001</v>
      </c>
      <c r="H12">
        <v>116496</v>
      </c>
    </row>
    <row r="13" spans="1:10" ht="24.75" customHeight="1">
      <c r="A13" s="158" t="s">
        <v>161</v>
      </c>
      <c r="B13" s="159">
        <v>1006</v>
      </c>
      <c r="C13" s="160">
        <v>1002</v>
      </c>
      <c r="D13" s="159">
        <v>17034</v>
      </c>
      <c r="E13" s="180">
        <f>D13*G8/C13</f>
        <v>170</v>
      </c>
      <c r="F13" s="162">
        <f t="shared" si="0"/>
        <v>74.888320000000007</v>
      </c>
      <c r="H13">
        <v>72008</v>
      </c>
    </row>
    <row r="14" spans="1:10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162">
        <f t="shared" si="0"/>
        <v>82.747600000000006</v>
      </c>
      <c r="H14">
        <v>79565</v>
      </c>
    </row>
    <row r="15" spans="1:10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162">
        <f t="shared" si="0"/>
        <v>169.51688000000001</v>
      </c>
      <c r="H15">
        <v>162997</v>
      </c>
    </row>
    <row r="16" spans="1:10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162">
        <f t="shared" si="0"/>
        <v>152.70736000000002</v>
      </c>
      <c r="H16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162">
        <f t="shared" si="0"/>
        <v>137.82080000000002</v>
      </c>
      <c r="H17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162">
        <f t="shared" si="0"/>
        <v>149.15888000000001</v>
      </c>
      <c r="H18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162">
        <f t="shared" si="0"/>
        <v>113.06256000000002</v>
      </c>
      <c r="H19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162">
        <f t="shared" si="0"/>
        <v>72.683520000000016</v>
      </c>
      <c r="H20">
        <v>69888</v>
      </c>
    </row>
    <row r="21" spans="1:8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162">
        <f t="shared" si="0"/>
        <v>194.00056000000004</v>
      </c>
      <c r="H21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162">
        <f t="shared" si="0"/>
        <v>174.23016000000001</v>
      </c>
      <c r="H22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162">
        <f t="shared" si="0"/>
        <v>93.721680000000006</v>
      </c>
      <c r="H23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162">
        <f t="shared" si="0"/>
        <v>91.414960000000008</v>
      </c>
      <c r="H24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83">
        <v>0</v>
      </c>
      <c r="E25" s="183">
        <v>0</v>
      </c>
      <c r="F25" s="162">
        <f t="shared" si="0"/>
        <v>196.81272000000001</v>
      </c>
      <c r="H25">
        <v>189243</v>
      </c>
    </row>
    <row r="26" spans="1:8" ht="24.75" customHeight="1">
      <c r="A26" s="12">
        <v>2025</v>
      </c>
      <c r="B26" s="186">
        <f>SUM(B9:B25)</f>
        <v>1267</v>
      </c>
      <c r="C26" s="186">
        <f>SUM(C9:C25)</f>
        <v>1255</v>
      </c>
      <c r="D26" s="186">
        <f>SUM(D9:D25)</f>
        <v>22347</v>
      </c>
      <c r="E26" s="186">
        <f>SUM(E9:E25)</f>
        <v>380</v>
      </c>
      <c r="F26" s="186">
        <f>SUM(F9:F25)</f>
        <v>2124.8000800000004</v>
      </c>
    </row>
    <row r="27" spans="1:8" ht="24.75" customHeight="1">
      <c r="A27" s="12">
        <f t="shared" ref="A27:A30" si="1">A26-1</f>
        <v>2024</v>
      </c>
      <c r="B27" s="167">
        <v>1261</v>
      </c>
      <c r="C27" s="167">
        <v>1159</v>
      </c>
      <c r="D27" s="167">
        <v>20725</v>
      </c>
      <c r="E27" s="187">
        <v>178.81794650560829</v>
      </c>
      <c r="F27" s="188">
        <v>3438.5328640000002</v>
      </c>
    </row>
    <row r="28" spans="1:8" ht="24.75" customHeight="1">
      <c r="A28" s="12">
        <f t="shared" si="1"/>
        <v>2023</v>
      </c>
      <c r="B28" s="169">
        <v>1210</v>
      </c>
      <c r="C28" s="169">
        <v>1170</v>
      </c>
      <c r="D28" s="169">
        <v>20691</v>
      </c>
      <c r="E28" s="170">
        <v>176.84615384615384</v>
      </c>
      <c r="F28" s="171">
        <v>3907.7990854722921</v>
      </c>
    </row>
    <row r="29" spans="1:8" ht="24.75" customHeight="1">
      <c r="A29" s="12">
        <f t="shared" si="1"/>
        <v>2022</v>
      </c>
      <c r="B29" s="169">
        <v>1369</v>
      </c>
      <c r="C29" s="169">
        <v>1405</v>
      </c>
      <c r="D29" s="169">
        <v>25317</v>
      </c>
      <c r="E29" s="170">
        <v>190.92896174863387</v>
      </c>
      <c r="F29" s="171">
        <v>2224.1011472954583</v>
      </c>
    </row>
    <row r="30" spans="1:8" ht="24.75" customHeight="1">
      <c r="A30" s="12">
        <f t="shared" si="1"/>
        <v>2021</v>
      </c>
      <c r="B30" s="169">
        <v>1242</v>
      </c>
      <c r="C30" s="169">
        <v>1325</v>
      </c>
      <c r="D30" s="169">
        <v>24615</v>
      </c>
      <c r="E30" s="170">
        <v>185.77358490565999</v>
      </c>
      <c r="F30" s="171">
        <v>2204.7134877899998</v>
      </c>
    </row>
    <row r="31" spans="1:8" ht="24.75" customHeight="1">
      <c r="A31" s="172"/>
      <c r="B31" s="169"/>
      <c r="C31" s="169"/>
      <c r="D31" s="169"/>
      <c r="E31" s="170"/>
      <c r="F31" s="171"/>
    </row>
    <row r="32" spans="1:8" ht="24.75" customHeight="1">
      <c r="A32" s="158"/>
      <c r="B32" s="159"/>
      <c r="C32" s="159"/>
      <c r="D32" s="159"/>
      <c r="E32" s="161"/>
      <c r="F32" s="181"/>
    </row>
    <row r="33" spans="1:6" ht="24.7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1000"/>
  <sheetViews>
    <sheetView topLeftCell="A16" workbookViewId="0">
      <selection activeCell="B26" sqref="B26:F26"/>
    </sheetView>
  </sheetViews>
  <sheetFormatPr defaultColWidth="14.42578125" defaultRowHeight="15" customHeight="1"/>
  <cols>
    <col min="1" max="1" width="23.42578125" customWidth="1"/>
    <col min="2" max="5" width="8.7109375" customWidth="1"/>
    <col min="6" max="6" width="12" bestFit="1" customWidth="1"/>
    <col min="7" max="26" width="8.7109375" customWidth="1"/>
  </cols>
  <sheetData>
    <row r="1" spans="1:10" ht="14.25" customHeight="1">
      <c r="A1" s="429" t="s">
        <v>201</v>
      </c>
      <c r="B1" s="423"/>
      <c r="C1" s="423"/>
      <c r="D1" s="423"/>
      <c r="E1" s="423"/>
      <c r="F1" s="423"/>
    </row>
    <row r="2" spans="1:10" ht="14.25" customHeight="1">
      <c r="A2" s="429" t="s">
        <v>202</v>
      </c>
      <c r="B2" s="423"/>
      <c r="C2" s="423"/>
      <c r="D2" s="423"/>
      <c r="E2" s="423"/>
      <c r="F2" s="423"/>
    </row>
    <row r="3" spans="1:10" ht="14.25" customHeight="1">
      <c r="A3" s="429" t="s">
        <v>102</v>
      </c>
      <c r="B3" s="423"/>
      <c r="C3" s="423"/>
      <c r="D3" s="423"/>
      <c r="E3" s="423"/>
      <c r="F3" s="423"/>
    </row>
    <row r="4" spans="1:10" ht="14.25" customHeight="1">
      <c r="A4" s="137"/>
      <c r="B4" s="141"/>
      <c r="C4" s="122"/>
      <c r="D4" s="122"/>
      <c r="E4" s="123"/>
      <c r="F4" s="122"/>
    </row>
    <row r="5" spans="1:10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19" t="s">
        <v>147</v>
      </c>
    </row>
    <row r="6" spans="1:10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20" t="s">
        <v>178</v>
      </c>
    </row>
    <row r="7" spans="1:10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21" t="s">
        <v>156</v>
      </c>
      <c r="H7" s="356" t="s">
        <v>251</v>
      </c>
      <c r="I7" s="358" t="s">
        <v>250</v>
      </c>
    </row>
    <row r="8" spans="1:10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73" t="s">
        <v>35</v>
      </c>
      <c r="G8">
        <v>10</v>
      </c>
      <c r="H8" s="314">
        <f>0.728/1000</f>
        <v>7.2800000000000002E-4</v>
      </c>
      <c r="I8" s="359">
        <v>0.72799999999999998</v>
      </c>
      <c r="J8" s="378">
        <f>0.014*52</f>
        <v>0.72799999999999998</v>
      </c>
    </row>
    <row r="9" spans="1:10" ht="24.75" customHeight="1">
      <c r="A9" s="158" t="s">
        <v>157</v>
      </c>
      <c r="B9" s="159">
        <v>0</v>
      </c>
      <c r="C9" s="160">
        <v>0</v>
      </c>
      <c r="D9" s="160">
        <v>0</v>
      </c>
      <c r="E9" s="160">
        <v>0</v>
      </c>
      <c r="F9" s="323">
        <f>$H$8*H9</f>
        <v>47.381880000000002</v>
      </c>
      <c r="H9" s="350">
        <v>65085</v>
      </c>
    </row>
    <row r="10" spans="1:10" ht="24.75" customHeight="1">
      <c r="A10" s="158" t="s">
        <v>158</v>
      </c>
      <c r="B10" s="159">
        <v>0</v>
      </c>
      <c r="C10" s="160">
        <v>0</v>
      </c>
      <c r="D10" s="160">
        <v>0</v>
      </c>
      <c r="E10" s="160">
        <v>0</v>
      </c>
      <c r="F10" s="323">
        <f t="shared" ref="F10:F25" si="0">$H$8*H10</f>
        <v>77.912744000000004</v>
      </c>
      <c r="H10" s="350">
        <v>107023</v>
      </c>
    </row>
    <row r="11" spans="1:10" ht="24.75" customHeight="1">
      <c r="A11" s="158" t="s">
        <v>159</v>
      </c>
      <c r="B11" s="159">
        <v>0</v>
      </c>
      <c r="C11" s="160">
        <v>0</v>
      </c>
      <c r="D11" s="160">
        <v>0</v>
      </c>
      <c r="E11" s="160">
        <v>0</v>
      </c>
      <c r="F11" s="323">
        <f t="shared" si="0"/>
        <v>85.320143999999999</v>
      </c>
      <c r="H11" s="350">
        <v>117198</v>
      </c>
    </row>
    <row r="12" spans="1:10" ht="24.75" customHeight="1">
      <c r="A12" s="158" t="s">
        <v>160</v>
      </c>
      <c r="B12" s="159">
        <v>67</v>
      </c>
      <c r="C12" s="160">
        <v>71</v>
      </c>
      <c r="D12" s="159">
        <v>1065</v>
      </c>
      <c r="E12" s="180">
        <f>D12*G8/C12</f>
        <v>150</v>
      </c>
      <c r="F12" s="323">
        <f t="shared" si="0"/>
        <v>84.809088000000003</v>
      </c>
      <c r="H12" s="350">
        <v>116496</v>
      </c>
    </row>
    <row r="13" spans="1:10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323">
        <f t="shared" si="0"/>
        <v>52.421824000000001</v>
      </c>
      <c r="H13" s="350">
        <v>72008</v>
      </c>
    </row>
    <row r="14" spans="1:10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323">
        <f t="shared" si="0"/>
        <v>57.923320000000004</v>
      </c>
      <c r="H14" s="350">
        <v>79565</v>
      </c>
    </row>
    <row r="15" spans="1:10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323">
        <f t="shared" si="0"/>
        <v>118.661816</v>
      </c>
      <c r="H15" s="350">
        <v>162997</v>
      </c>
    </row>
    <row r="16" spans="1:10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323">
        <f t="shared" si="0"/>
        <v>106.89515200000001</v>
      </c>
      <c r="H16" s="350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323">
        <f t="shared" si="0"/>
        <v>96.474559999999997</v>
      </c>
      <c r="H17" s="350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323">
        <f t="shared" si="0"/>
        <v>104.41121600000001</v>
      </c>
      <c r="H18" s="350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323">
        <f t="shared" si="0"/>
        <v>79.143792000000005</v>
      </c>
      <c r="H19" s="350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323">
        <f t="shared" si="0"/>
        <v>50.878464000000001</v>
      </c>
      <c r="H20" s="350">
        <v>69888</v>
      </c>
    </row>
    <row r="21" spans="1:8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323">
        <f t="shared" si="0"/>
        <v>135.80039200000002</v>
      </c>
      <c r="H21" s="350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323">
        <f t="shared" si="0"/>
        <v>121.961112</v>
      </c>
      <c r="H22" s="350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23">
        <f t="shared" si="0"/>
        <v>65.605176</v>
      </c>
      <c r="H23" s="350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323">
        <f t="shared" si="0"/>
        <v>63.990472000000004</v>
      </c>
      <c r="H24" s="350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83">
        <v>0</v>
      </c>
      <c r="E25" s="183">
        <v>0</v>
      </c>
      <c r="F25" s="323">
        <f t="shared" si="0"/>
        <v>137.76890399999999</v>
      </c>
      <c r="H25" s="350">
        <v>189243</v>
      </c>
    </row>
    <row r="26" spans="1:8" ht="24.75" customHeight="1">
      <c r="A26" s="12">
        <v>2025</v>
      </c>
      <c r="B26" s="186">
        <f>SUM(B9:B25)</f>
        <v>67</v>
      </c>
      <c r="C26" s="186">
        <f>SUM(C9:C25)</f>
        <v>71</v>
      </c>
      <c r="D26" s="186">
        <f>SUM(D9:D25)</f>
        <v>1065</v>
      </c>
      <c r="E26" s="186">
        <f>SUM(E9:E25)</f>
        <v>150</v>
      </c>
      <c r="F26" s="326">
        <f>SUM(F9:F25)</f>
        <v>1487.360056</v>
      </c>
      <c r="H26" s="350"/>
    </row>
    <row r="27" spans="1:8" ht="24.75" customHeight="1">
      <c r="A27" s="12">
        <f t="shared" ref="A27:A30" si="1">A26-1</f>
        <v>2024</v>
      </c>
      <c r="B27" s="167">
        <v>67</v>
      </c>
      <c r="C27" s="167">
        <v>68</v>
      </c>
      <c r="D27" s="167">
        <v>1020</v>
      </c>
      <c r="E27" s="187">
        <v>150</v>
      </c>
      <c r="F27" s="327">
        <v>3331.0787120000009</v>
      </c>
    </row>
    <row r="28" spans="1:8" ht="24.75" customHeight="1">
      <c r="A28" s="12">
        <f t="shared" si="1"/>
        <v>2023</v>
      </c>
      <c r="B28" s="169">
        <v>62</v>
      </c>
      <c r="C28" s="169">
        <v>54</v>
      </c>
      <c r="D28" s="169">
        <v>810</v>
      </c>
      <c r="E28" s="170">
        <v>150</v>
      </c>
      <c r="F28" s="324">
        <v>3086.5678815860074</v>
      </c>
    </row>
    <row r="29" spans="1:8" ht="24.75" customHeight="1">
      <c r="A29" s="12">
        <f t="shared" si="1"/>
        <v>2022</v>
      </c>
      <c r="B29" s="169">
        <v>70</v>
      </c>
      <c r="C29" s="169">
        <v>71</v>
      </c>
      <c r="D29" s="169">
        <v>1065</v>
      </c>
      <c r="E29" s="170">
        <v>150</v>
      </c>
      <c r="F29" s="324">
        <v>1031.1741682915308</v>
      </c>
    </row>
    <row r="30" spans="1:8" ht="24.75" customHeight="1">
      <c r="A30" s="12">
        <f t="shared" si="1"/>
        <v>2021</v>
      </c>
      <c r="B30" s="169">
        <v>49</v>
      </c>
      <c r="C30" s="169">
        <v>41</v>
      </c>
      <c r="D30" s="169">
        <v>532.5</v>
      </c>
      <c r="E30" s="170">
        <v>129.878048780488</v>
      </c>
      <c r="F30" s="324">
        <v>1022.185344339</v>
      </c>
    </row>
    <row r="31" spans="1:8" ht="24.75" customHeight="1">
      <c r="A31" s="172"/>
      <c r="B31" s="169"/>
      <c r="C31" s="169"/>
      <c r="D31" s="169"/>
      <c r="E31" s="170"/>
      <c r="F31" s="324"/>
    </row>
    <row r="32" spans="1:8" ht="24.75" customHeight="1">
      <c r="A32" s="158"/>
      <c r="B32" s="159"/>
      <c r="C32" s="159"/>
      <c r="D32" s="159"/>
      <c r="E32" s="161"/>
      <c r="F32" s="325"/>
    </row>
    <row r="33" spans="1:6" ht="24.75" customHeight="1">
      <c r="A33" s="173"/>
      <c r="B33" s="174"/>
      <c r="C33" s="174"/>
      <c r="D33" s="174"/>
      <c r="E33" s="176"/>
      <c r="F33" s="328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000"/>
  <sheetViews>
    <sheetView topLeftCell="A19" workbookViewId="0">
      <selection activeCell="G27" sqref="G27"/>
    </sheetView>
  </sheetViews>
  <sheetFormatPr defaultColWidth="14.42578125" defaultRowHeight="15" customHeight="1"/>
  <cols>
    <col min="1" max="1" width="21.28515625" customWidth="1"/>
    <col min="2" max="5" width="8.7109375" customWidth="1"/>
    <col min="6" max="6" width="12" bestFit="1" customWidth="1"/>
    <col min="7" max="26" width="8.7109375" customWidth="1"/>
  </cols>
  <sheetData>
    <row r="1" spans="1:9" ht="14.25" customHeight="1">
      <c r="A1" s="429" t="s">
        <v>203</v>
      </c>
      <c r="B1" s="423"/>
      <c r="C1" s="423"/>
      <c r="D1" s="423"/>
      <c r="E1" s="423"/>
      <c r="F1" s="423"/>
    </row>
    <row r="2" spans="1:9" ht="14.25" customHeight="1">
      <c r="A2" s="429" t="s">
        <v>204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19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20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21" t="s">
        <v>156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73" t="s">
        <v>35</v>
      </c>
      <c r="G8">
        <v>10</v>
      </c>
      <c r="H8" s="381">
        <f>0.468/1000</f>
        <v>4.6800000000000005E-4</v>
      </c>
      <c r="I8" s="378">
        <f>0.009*52</f>
        <v>0.46799999999999997</v>
      </c>
    </row>
    <row r="9" spans="1:9" ht="24.75" customHeight="1">
      <c r="A9" s="158" t="s">
        <v>157</v>
      </c>
      <c r="B9" s="159">
        <v>0</v>
      </c>
      <c r="C9" s="160">
        <v>0</v>
      </c>
      <c r="D9" s="160">
        <v>0</v>
      </c>
      <c r="E9" s="160">
        <v>0</v>
      </c>
      <c r="F9" s="323">
        <f>$H$8*H9</f>
        <v>30.459780000000002</v>
      </c>
      <c r="H9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60">
        <v>0</v>
      </c>
      <c r="E10" s="160">
        <v>0</v>
      </c>
      <c r="F10" s="323">
        <f t="shared" ref="F10:F25" si="0">$H$8*H10</f>
        <v>50.086764000000002</v>
      </c>
      <c r="H10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60">
        <v>0</v>
      </c>
      <c r="E11" s="160">
        <v>0</v>
      </c>
      <c r="F11" s="323">
        <f t="shared" si="0"/>
        <v>54.848664000000007</v>
      </c>
      <c r="H11">
        <v>117198</v>
      </c>
    </row>
    <row r="12" spans="1:9" ht="24.75" customHeight="1">
      <c r="A12" s="158" t="s">
        <v>160</v>
      </c>
      <c r="B12" s="159">
        <v>148</v>
      </c>
      <c r="C12" s="160">
        <v>169</v>
      </c>
      <c r="D12" s="159">
        <v>2535</v>
      </c>
      <c r="E12" s="180">
        <f>D12*G8/C12</f>
        <v>150</v>
      </c>
      <c r="F12" s="323">
        <f t="shared" si="0"/>
        <v>54.520128000000007</v>
      </c>
      <c r="H12">
        <v>116496</v>
      </c>
    </row>
    <row r="13" spans="1:9" ht="24.75" customHeight="1">
      <c r="A13" s="158" t="s">
        <v>161</v>
      </c>
      <c r="B13" s="159">
        <v>633</v>
      </c>
      <c r="C13" s="160">
        <v>540</v>
      </c>
      <c r="D13" s="159">
        <v>7560</v>
      </c>
      <c r="E13" s="180">
        <f>D13*G8/C13</f>
        <v>140</v>
      </c>
      <c r="F13" s="323">
        <f t="shared" si="0"/>
        <v>33.699744000000003</v>
      </c>
      <c r="H13">
        <v>72008</v>
      </c>
    </row>
    <row r="14" spans="1:9" ht="24.75" customHeight="1">
      <c r="A14" s="158" t="s">
        <v>162</v>
      </c>
      <c r="B14" s="159">
        <v>0</v>
      </c>
      <c r="C14" s="160">
        <v>0</v>
      </c>
      <c r="D14" s="159">
        <v>0</v>
      </c>
      <c r="E14" s="160">
        <v>0</v>
      </c>
      <c r="F14" s="323">
        <f t="shared" si="0"/>
        <v>37.236420000000003</v>
      </c>
      <c r="H14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60">
        <v>0</v>
      </c>
      <c r="F15" s="323">
        <f t="shared" si="0"/>
        <v>76.282596000000012</v>
      </c>
      <c r="H15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60">
        <v>0</v>
      </c>
      <c r="F16" s="323">
        <f t="shared" si="0"/>
        <v>68.718312000000012</v>
      </c>
      <c r="H16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60">
        <v>0</v>
      </c>
      <c r="F17" s="323">
        <f t="shared" si="0"/>
        <v>62.019360000000006</v>
      </c>
      <c r="H17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60">
        <v>0</v>
      </c>
      <c r="F18" s="323">
        <f t="shared" si="0"/>
        <v>67.121496000000008</v>
      </c>
      <c r="H18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60">
        <v>0</v>
      </c>
      <c r="F19" s="323">
        <f t="shared" si="0"/>
        <v>50.878152000000007</v>
      </c>
      <c r="H19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60">
        <v>0</v>
      </c>
      <c r="F20" s="323">
        <f t="shared" si="0"/>
        <v>32.707584000000004</v>
      </c>
      <c r="H20">
        <v>69888</v>
      </c>
    </row>
    <row r="21" spans="1:8" ht="24.75" customHeight="1">
      <c r="A21" s="158" t="s">
        <v>169</v>
      </c>
      <c r="B21" s="159">
        <v>0</v>
      </c>
      <c r="C21" s="160">
        <v>0</v>
      </c>
      <c r="D21" s="159">
        <v>0</v>
      </c>
      <c r="E21" s="160">
        <v>0</v>
      </c>
      <c r="F21" s="323">
        <f t="shared" si="0"/>
        <v>87.300252000000015</v>
      </c>
      <c r="H21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60">
        <v>0</v>
      </c>
      <c r="F22" s="323">
        <f t="shared" si="0"/>
        <v>78.403572000000011</v>
      </c>
      <c r="H22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60">
        <v>0</v>
      </c>
      <c r="F23" s="323">
        <f t="shared" si="0"/>
        <v>42.174756000000002</v>
      </c>
      <c r="H23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60">
        <v>0</v>
      </c>
      <c r="F24" s="323">
        <f t="shared" si="0"/>
        <v>41.136732000000002</v>
      </c>
      <c r="H24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83">
        <v>0</v>
      </c>
      <c r="E25" s="160">
        <v>0</v>
      </c>
      <c r="F25" s="323">
        <f t="shared" si="0"/>
        <v>88.565724000000003</v>
      </c>
      <c r="H25">
        <v>189243</v>
      </c>
    </row>
    <row r="26" spans="1:8" ht="24.75" customHeight="1">
      <c r="A26" s="12">
        <v>2025</v>
      </c>
      <c r="B26" s="186">
        <f>SUM(B9:B25)</f>
        <v>781</v>
      </c>
      <c r="C26" s="186">
        <f>SUM(C9:C25)</f>
        <v>709</v>
      </c>
      <c r="D26" s="186">
        <f>SUM(D9:D25)</f>
        <v>10095</v>
      </c>
      <c r="E26" s="186">
        <f>SUM(E9:E25)</f>
        <v>290</v>
      </c>
      <c r="F26" s="186">
        <f>SUM(F9:F25)</f>
        <v>956.16003600000022</v>
      </c>
    </row>
    <row r="27" spans="1:8" ht="24.75" customHeight="1">
      <c r="A27" s="12">
        <f t="shared" ref="A27:A30" si="1">A26-1</f>
        <v>2024</v>
      </c>
      <c r="B27" s="167">
        <v>801</v>
      </c>
      <c r="C27" s="167">
        <v>807</v>
      </c>
      <c r="D27" s="167">
        <v>11493</v>
      </c>
      <c r="E27" s="187">
        <v>142.41635687732341</v>
      </c>
      <c r="F27" s="188">
        <v>1074.5415200000002</v>
      </c>
    </row>
    <row r="28" spans="1:8" ht="24.75" customHeight="1">
      <c r="A28" s="12">
        <f t="shared" si="1"/>
        <v>2023</v>
      </c>
      <c r="B28" s="169">
        <v>854</v>
      </c>
      <c r="C28" s="169">
        <v>834</v>
      </c>
      <c r="D28" s="169">
        <v>11959</v>
      </c>
      <c r="E28" s="170">
        <v>146.13</v>
      </c>
      <c r="F28" s="171">
        <v>2657.861085867215</v>
      </c>
    </row>
    <row r="29" spans="1:8" ht="24.75" customHeight="1">
      <c r="A29" s="12">
        <f t="shared" si="1"/>
        <v>2022</v>
      </c>
      <c r="B29" s="169">
        <v>942</v>
      </c>
      <c r="C29" s="169">
        <v>969</v>
      </c>
      <c r="D29" s="169">
        <v>13876</v>
      </c>
      <c r="E29" s="170">
        <v>145.54127198917456</v>
      </c>
      <c r="F29" s="171">
        <v>2108.8522696628756</v>
      </c>
    </row>
    <row r="30" spans="1:8" ht="24.75" customHeight="1">
      <c r="A30" s="12">
        <f t="shared" si="1"/>
        <v>2021</v>
      </c>
      <c r="B30" s="169">
        <v>1004</v>
      </c>
      <c r="C30" s="169">
        <v>999</v>
      </c>
      <c r="D30" s="169">
        <v>14985</v>
      </c>
      <c r="E30" s="170">
        <v>150</v>
      </c>
      <c r="F30" s="171">
        <v>2090.4692434226999</v>
      </c>
    </row>
    <row r="31" spans="1:8" ht="24.75" customHeight="1">
      <c r="A31" s="172"/>
      <c r="B31" s="169"/>
      <c r="C31" s="169"/>
      <c r="D31" s="169"/>
      <c r="E31" s="170"/>
      <c r="F31" s="171"/>
    </row>
    <row r="32" spans="1:8" ht="24.75" customHeight="1">
      <c r="A32" s="158"/>
      <c r="B32" s="159"/>
      <c r="C32" s="159"/>
      <c r="D32" s="159"/>
      <c r="E32" s="161"/>
      <c r="F32" s="181"/>
    </row>
    <row r="33" spans="1:6" ht="24.7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topLeftCell="A4" workbookViewId="0">
      <selection activeCell="C20" sqref="C20"/>
    </sheetView>
  </sheetViews>
  <sheetFormatPr defaultColWidth="14.42578125" defaultRowHeight="15" customHeight="1"/>
  <cols>
    <col min="1" max="1" width="18.28515625" customWidth="1"/>
    <col min="2" max="2" width="14.140625" customWidth="1"/>
    <col min="3" max="3" width="15.140625" customWidth="1"/>
    <col min="4" max="4" width="16.42578125" customWidth="1"/>
    <col min="5" max="5" width="15.28515625" customWidth="1"/>
    <col min="6" max="6" width="16.42578125" customWidth="1"/>
    <col min="7" max="7" width="16.140625" customWidth="1"/>
    <col min="9" max="9" width="8.7109375" customWidth="1"/>
    <col min="10" max="10" width="13.85546875" customWidth="1"/>
    <col min="11" max="11" width="11.140625" customWidth="1"/>
    <col min="12" max="26" width="8.7109375" customWidth="1"/>
  </cols>
  <sheetData>
    <row r="1" spans="1:11" ht="14.25" customHeight="1">
      <c r="A1" s="412" t="s">
        <v>0</v>
      </c>
      <c r="B1" s="411"/>
      <c r="C1" s="411"/>
      <c r="D1" s="411"/>
      <c r="E1" s="411"/>
      <c r="F1" s="411"/>
      <c r="G1" s="411"/>
      <c r="H1" s="411"/>
    </row>
    <row r="2" spans="1:11" ht="14.25" customHeight="1">
      <c r="A2" s="412" t="s">
        <v>28</v>
      </c>
      <c r="B2" s="411"/>
      <c r="C2" s="411"/>
      <c r="D2" s="411"/>
      <c r="E2" s="411"/>
      <c r="F2" s="411"/>
      <c r="G2" s="411"/>
      <c r="H2" s="411"/>
    </row>
    <row r="3" spans="1:11" ht="14.25" customHeight="1">
      <c r="A3" s="412" t="s">
        <v>51</v>
      </c>
      <c r="B3" s="411"/>
      <c r="C3" s="411"/>
      <c r="D3" s="411"/>
      <c r="E3" s="411"/>
      <c r="F3" s="411"/>
      <c r="G3" s="411"/>
      <c r="H3" s="411"/>
    </row>
    <row r="4" spans="1:11" ht="14.25" customHeight="1">
      <c r="A4" s="16"/>
      <c r="B4" s="16"/>
      <c r="C4" s="16"/>
      <c r="D4" s="16"/>
      <c r="E4" s="16"/>
      <c r="F4" s="16"/>
      <c r="G4" s="16"/>
      <c r="H4" s="17"/>
    </row>
    <row r="5" spans="1:11" ht="14.25" customHeight="1">
      <c r="A5" s="415" t="s">
        <v>31</v>
      </c>
      <c r="B5" s="416" t="s">
        <v>32</v>
      </c>
      <c r="C5" s="415" t="s">
        <v>4</v>
      </c>
      <c r="D5" s="415" t="s">
        <v>5</v>
      </c>
      <c r="E5" s="415" t="s">
        <v>6</v>
      </c>
      <c r="F5" s="415" t="s">
        <v>33</v>
      </c>
      <c r="G5" s="415" t="s">
        <v>34</v>
      </c>
      <c r="H5" s="18"/>
    </row>
    <row r="6" spans="1:11" ht="14.25" customHeight="1">
      <c r="A6" s="409"/>
      <c r="B6" s="409"/>
      <c r="C6" s="409"/>
      <c r="D6" s="409"/>
      <c r="E6" s="409"/>
      <c r="F6" s="409"/>
      <c r="G6" s="409"/>
      <c r="H6" s="18"/>
    </row>
    <row r="7" spans="1:11" ht="14.25" customHeight="1">
      <c r="A7" s="19" t="s">
        <v>8</v>
      </c>
      <c r="B7" s="191" t="s">
        <v>9</v>
      </c>
      <c r="C7" s="191" t="s">
        <v>10</v>
      </c>
      <c r="D7" s="19" t="s">
        <v>11</v>
      </c>
      <c r="E7" s="19" t="s">
        <v>12</v>
      </c>
      <c r="F7" s="19" t="s">
        <v>35</v>
      </c>
      <c r="G7" s="19" t="s">
        <v>36</v>
      </c>
      <c r="H7" s="18"/>
    </row>
    <row r="8" spans="1:11" ht="14.25" customHeight="1">
      <c r="A8" s="190" t="s">
        <v>37</v>
      </c>
      <c r="B8" s="193">
        <v>0</v>
      </c>
      <c r="C8" s="194">
        <v>0</v>
      </c>
      <c r="D8" s="240">
        <f>C8*0.59</f>
        <v>0</v>
      </c>
      <c r="E8" s="7">
        <v>1328.0546004882785</v>
      </c>
      <c r="F8" s="41">
        <f>D8-E8</f>
        <v>-1328.0546004882785</v>
      </c>
      <c r="G8" s="250">
        <f>F8</f>
        <v>-1328.0546004882785</v>
      </c>
      <c r="H8" s="18"/>
      <c r="K8" s="23"/>
    </row>
    <row r="9" spans="1:11" ht="14.25" customHeight="1">
      <c r="A9" s="190" t="s">
        <v>38</v>
      </c>
      <c r="B9" s="193">
        <v>0</v>
      </c>
      <c r="C9" s="194">
        <v>0</v>
      </c>
      <c r="D9" s="240">
        <f t="shared" ref="D9:D19" si="0">C9*0.59</f>
        <v>0</v>
      </c>
      <c r="E9" s="7">
        <v>1199.5331875377999</v>
      </c>
      <c r="F9" s="41">
        <f t="shared" ref="F9:F19" si="1">D9-E9</f>
        <v>-1199.5331875377999</v>
      </c>
      <c r="G9" s="250">
        <f t="shared" ref="G9:G19" si="2">G8+F9</f>
        <v>-2527.5877880260787</v>
      </c>
      <c r="H9" s="18"/>
      <c r="K9" s="24"/>
    </row>
    <row r="10" spans="1:11" ht="14.25" customHeight="1">
      <c r="A10" s="190" t="s">
        <v>39</v>
      </c>
      <c r="B10" s="193">
        <v>0</v>
      </c>
      <c r="C10" s="194">
        <v>0</v>
      </c>
      <c r="D10" s="240">
        <f t="shared" si="0"/>
        <v>0</v>
      </c>
      <c r="E10" s="7">
        <v>1328.0546004882785</v>
      </c>
      <c r="F10" s="41">
        <f t="shared" si="1"/>
        <v>-1328.0546004882785</v>
      </c>
      <c r="G10" s="250">
        <f t="shared" si="2"/>
        <v>-3855.6423885143572</v>
      </c>
      <c r="H10" s="18"/>
    </row>
    <row r="11" spans="1:11" ht="14.25" customHeight="1">
      <c r="A11" s="190" t="s">
        <v>40</v>
      </c>
      <c r="B11" s="193">
        <v>0</v>
      </c>
      <c r="C11" s="194">
        <v>0</v>
      </c>
      <c r="D11" s="240">
        <f t="shared" si="0"/>
        <v>0</v>
      </c>
      <c r="E11" s="7">
        <v>1285.2141295047857</v>
      </c>
      <c r="F11" s="41">
        <f t="shared" si="1"/>
        <v>-1285.2141295047857</v>
      </c>
      <c r="G11" s="250">
        <f t="shared" si="2"/>
        <v>-5140.8565180191426</v>
      </c>
      <c r="H11" s="18"/>
    </row>
    <row r="12" spans="1:11" ht="14.25" customHeight="1">
      <c r="A12" s="190" t="s">
        <v>41</v>
      </c>
      <c r="B12" s="193">
        <v>20</v>
      </c>
      <c r="C12" s="194">
        <v>28</v>
      </c>
      <c r="D12" s="240">
        <f t="shared" ref="D12:D17" si="3">C12*0.59</f>
        <v>16.52</v>
      </c>
      <c r="E12" s="7">
        <v>1328.0546004882785</v>
      </c>
      <c r="F12" s="41">
        <f t="shared" si="1"/>
        <v>-1311.5346004882786</v>
      </c>
      <c r="G12" s="250">
        <f t="shared" si="2"/>
        <v>-6452.3911185074212</v>
      </c>
      <c r="H12" s="18"/>
    </row>
    <row r="13" spans="1:11" ht="14.25" customHeight="1">
      <c r="A13" s="190" t="s">
        <v>42</v>
      </c>
      <c r="B13" s="193">
        <v>336</v>
      </c>
      <c r="C13" s="194">
        <v>428.76</v>
      </c>
      <c r="D13" s="240">
        <f t="shared" si="3"/>
        <v>252.96839999999997</v>
      </c>
      <c r="E13" s="7">
        <v>1285.2141295047857</v>
      </c>
      <c r="F13" s="41">
        <f t="shared" si="1"/>
        <v>-1032.2457295047857</v>
      </c>
      <c r="G13" s="250">
        <f t="shared" si="2"/>
        <v>-7484.6368480122073</v>
      </c>
      <c r="H13" s="18"/>
    </row>
    <row r="14" spans="1:11" ht="14.25" customHeight="1">
      <c r="A14" s="190" t="s">
        <v>43</v>
      </c>
      <c r="B14" s="193">
        <v>98</v>
      </c>
      <c r="C14" s="194">
        <v>0</v>
      </c>
      <c r="D14" s="240">
        <f t="shared" si="3"/>
        <v>0</v>
      </c>
      <c r="E14" s="7">
        <v>1328.0546004882785</v>
      </c>
      <c r="F14" s="41">
        <f t="shared" si="1"/>
        <v>-1328.0546004882785</v>
      </c>
      <c r="G14" s="250">
        <f t="shared" si="2"/>
        <v>-8812.6914485004854</v>
      </c>
      <c r="H14" s="18"/>
    </row>
    <row r="15" spans="1:11" ht="14.25" customHeight="1">
      <c r="A15" s="190" t="s">
        <v>44</v>
      </c>
      <c r="B15" s="193">
        <v>0</v>
      </c>
      <c r="C15" s="194">
        <v>0</v>
      </c>
      <c r="D15" s="240">
        <f t="shared" si="3"/>
        <v>0</v>
      </c>
      <c r="E15" s="7">
        <v>1328.0546004882785</v>
      </c>
      <c r="F15" s="41">
        <f t="shared" si="1"/>
        <v>-1328.0546004882785</v>
      </c>
      <c r="G15" s="250">
        <f t="shared" si="2"/>
        <v>-10140.746048988764</v>
      </c>
      <c r="H15" s="18"/>
    </row>
    <row r="16" spans="1:11" ht="14.25" customHeight="1">
      <c r="A16" s="190" t="s">
        <v>45</v>
      </c>
      <c r="B16" s="193">
        <v>42</v>
      </c>
      <c r="C16" s="194">
        <v>46.2</v>
      </c>
      <c r="D16" s="240">
        <f t="shared" si="3"/>
        <v>27.257999999999999</v>
      </c>
      <c r="E16" s="7">
        <v>1285.2141295047857</v>
      </c>
      <c r="F16" s="41">
        <f t="shared" si="1"/>
        <v>-1257.9561295047856</v>
      </c>
      <c r="G16" s="250">
        <f t="shared" si="2"/>
        <v>-11398.70217849355</v>
      </c>
      <c r="H16" s="18"/>
      <c r="K16" s="23"/>
    </row>
    <row r="17" spans="1:11" ht="14.25" customHeight="1">
      <c r="A17" s="190" t="s">
        <v>46</v>
      </c>
      <c r="B17" s="193">
        <v>1</v>
      </c>
      <c r="C17" s="194">
        <v>1.4</v>
      </c>
      <c r="D17" s="240">
        <f t="shared" si="3"/>
        <v>0.82599999999999996</v>
      </c>
      <c r="E17" s="7">
        <v>1328.0546004882785</v>
      </c>
      <c r="F17" s="41">
        <f t="shared" si="1"/>
        <v>-1327.2286004882785</v>
      </c>
      <c r="G17" s="250">
        <f t="shared" si="2"/>
        <v>-12725.930778981829</v>
      </c>
      <c r="H17" s="18"/>
      <c r="K17" s="23"/>
    </row>
    <row r="18" spans="1:11" ht="14.25" customHeight="1">
      <c r="A18" s="190" t="s">
        <v>47</v>
      </c>
      <c r="B18" s="193">
        <v>0</v>
      </c>
      <c r="C18" s="194">
        <v>0</v>
      </c>
      <c r="D18" s="240">
        <f t="shared" si="0"/>
        <v>0</v>
      </c>
      <c r="E18" s="7">
        <v>1285.2141295047857</v>
      </c>
      <c r="F18" s="41">
        <f t="shared" si="1"/>
        <v>-1285.2141295047857</v>
      </c>
      <c r="G18" s="250">
        <f t="shared" si="2"/>
        <v>-14011.144908486614</v>
      </c>
      <c r="H18" s="18"/>
      <c r="K18" s="23"/>
    </row>
    <row r="19" spans="1:11" ht="14.25" customHeight="1">
      <c r="A19" s="190" t="s">
        <v>48</v>
      </c>
      <c r="B19" s="193">
        <v>0</v>
      </c>
      <c r="C19" s="194">
        <v>0</v>
      </c>
      <c r="D19" s="240">
        <f t="shared" si="0"/>
        <v>0</v>
      </c>
      <c r="E19" s="7">
        <v>1328.0546004882785</v>
      </c>
      <c r="F19" s="41">
        <f t="shared" si="1"/>
        <v>-1328.0546004882785</v>
      </c>
      <c r="G19" s="250">
        <f t="shared" si="2"/>
        <v>-15339.199508974893</v>
      </c>
      <c r="H19" s="18"/>
      <c r="K19" s="23"/>
    </row>
    <row r="20" spans="1:11" ht="14.25" customHeight="1">
      <c r="A20" s="12">
        <v>2025</v>
      </c>
      <c r="B20" s="202">
        <f>SUM(B8:B19)</f>
        <v>497</v>
      </c>
      <c r="C20" s="202">
        <f t="shared" ref="C20:F20" si="4">SUM(C8:C19)</f>
        <v>504.35999999999996</v>
      </c>
      <c r="D20" s="202">
        <f t="shared" si="4"/>
        <v>297.57239999999996</v>
      </c>
      <c r="E20" s="202">
        <f t="shared" si="4"/>
        <v>15636.771908974892</v>
      </c>
      <c r="F20" s="202">
        <f t="shared" si="4"/>
        <v>-15339.199508974893</v>
      </c>
      <c r="G20" s="202">
        <f>SUM(G8:G19)</f>
        <v>-99217.584133993631</v>
      </c>
      <c r="H20" s="18"/>
      <c r="K20" s="23"/>
    </row>
    <row r="21" spans="1:11" ht="14.25" customHeight="1">
      <c r="A21" s="12">
        <f t="shared" ref="A21:A24" si="5">A20-1</f>
        <v>2024</v>
      </c>
      <c r="B21" s="43">
        <v>1090</v>
      </c>
      <c r="C21" s="38">
        <v>1423.1</v>
      </c>
      <c r="D21" s="25">
        <v>1380.4069999999999</v>
      </c>
      <c r="E21" s="25">
        <v>17270.395000415996</v>
      </c>
      <c r="F21" s="39">
        <v>-15889.988000415997</v>
      </c>
      <c r="G21" s="42">
        <v>-15889.988000415997</v>
      </c>
      <c r="H21" s="18"/>
      <c r="K21" s="23"/>
    </row>
    <row r="22" spans="1:11" ht="14.25" customHeight="1">
      <c r="A22" s="12">
        <f t="shared" si="5"/>
        <v>2023</v>
      </c>
      <c r="B22" s="39">
        <v>1389.84</v>
      </c>
      <c r="C22" s="25">
        <v>2041.0157999999997</v>
      </c>
      <c r="D22" s="25">
        <v>1979.7853259999999</v>
      </c>
      <c r="E22" s="25">
        <v>19342.842400465917</v>
      </c>
      <c r="F22" s="39">
        <v>1924.9453259999998</v>
      </c>
      <c r="G22" s="42">
        <v>1924.9453259999998</v>
      </c>
      <c r="H22" s="18"/>
    </row>
    <row r="23" spans="1:11" ht="14.25" customHeight="1">
      <c r="A23" s="12">
        <f t="shared" si="5"/>
        <v>2022</v>
      </c>
      <c r="B23" s="40">
        <v>1215.0999999999999</v>
      </c>
      <c r="C23" s="44">
        <v>159.53100000000003</v>
      </c>
      <c r="D23" s="13">
        <v>154.74507</v>
      </c>
      <c r="E23" s="13">
        <v>15790.574100000003</v>
      </c>
      <c r="F23" s="40">
        <v>-15635.829029999999</v>
      </c>
      <c r="G23" s="40">
        <v>-15635.829029999999</v>
      </c>
      <c r="H23" s="18"/>
    </row>
    <row r="24" spans="1:11" ht="14.25" customHeight="1">
      <c r="A24" s="12">
        <f t="shared" si="5"/>
        <v>2021</v>
      </c>
      <c r="B24" s="40">
        <v>2207</v>
      </c>
      <c r="C24" s="13">
        <v>4303.0810000000001</v>
      </c>
      <c r="D24" s="13">
        <v>4073.2964745999998</v>
      </c>
      <c r="E24" s="32">
        <v>15673.508613197993</v>
      </c>
      <c r="F24" s="40">
        <v>-11600.212138597997</v>
      </c>
      <c r="G24" s="40">
        <v>-11600.212138597997</v>
      </c>
      <c r="H24" s="18"/>
    </row>
    <row r="25" spans="1:11" ht="14.25" customHeight="1">
      <c r="A25" s="33"/>
      <c r="B25" s="40"/>
      <c r="C25" s="13"/>
      <c r="D25" s="13"/>
      <c r="E25" s="32"/>
      <c r="F25" s="40"/>
      <c r="G25" s="40"/>
      <c r="H25" s="18"/>
    </row>
    <row r="26" spans="1:11" ht="14.25" customHeight="1"/>
    <row r="27" spans="1:11" ht="14.25" customHeight="1">
      <c r="A27" s="410" t="s">
        <v>27</v>
      </c>
      <c r="B27" s="411"/>
      <c r="C27" s="411"/>
      <c r="D27" s="411"/>
    </row>
    <row r="28" spans="1:11" ht="14.25" customHeight="1">
      <c r="A28" s="410"/>
      <c r="B28" s="411"/>
      <c r="C28" s="411"/>
      <c r="D28" s="411"/>
      <c r="E28" s="411"/>
      <c r="F28" s="411"/>
      <c r="G28" s="411"/>
      <c r="H28" s="411"/>
    </row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E5:E6"/>
    <mergeCell ref="F5:F6"/>
    <mergeCell ref="A27:D27"/>
    <mergeCell ref="A28:H28"/>
    <mergeCell ref="A1:H1"/>
    <mergeCell ref="A2:H2"/>
    <mergeCell ref="A3:H3"/>
    <mergeCell ref="A5:A6"/>
    <mergeCell ref="B5:B6"/>
    <mergeCell ref="C5:C6"/>
    <mergeCell ref="D5:D6"/>
    <mergeCell ref="G5:G6"/>
  </mergeCells>
  <pageMargins left="0.7" right="0.7" top="0.75" bottom="0.75" header="0" footer="0"/>
  <pageSetup paperSize="9" scale="7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1000"/>
  <sheetViews>
    <sheetView topLeftCell="A22" workbookViewId="0">
      <selection activeCell="B26" sqref="B26:F26"/>
    </sheetView>
  </sheetViews>
  <sheetFormatPr defaultColWidth="14.42578125" defaultRowHeight="15" customHeight="1"/>
  <cols>
    <col min="1" max="1" width="23.5703125" customWidth="1"/>
    <col min="2" max="5" width="8.7109375" customWidth="1"/>
    <col min="6" max="6" width="11.85546875" customWidth="1"/>
    <col min="7" max="26" width="8.7109375" customWidth="1"/>
  </cols>
  <sheetData>
    <row r="1" spans="1:9" ht="14.25" customHeight="1">
      <c r="A1" s="429" t="s">
        <v>205</v>
      </c>
      <c r="B1" s="423"/>
      <c r="C1" s="423"/>
      <c r="D1" s="423"/>
      <c r="E1" s="423"/>
      <c r="F1" s="423"/>
    </row>
    <row r="2" spans="1:9" ht="14.25" customHeight="1">
      <c r="A2" s="429" t="s">
        <v>206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19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20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21" t="s">
        <v>156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74" t="s">
        <v>35</v>
      </c>
      <c r="G8" s="331">
        <v>10</v>
      </c>
      <c r="H8" s="331">
        <f>1.796/1000</f>
        <v>1.7960000000000001E-3</v>
      </c>
      <c r="I8" s="378">
        <f>0.038*52</f>
        <v>1.976</v>
      </c>
    </row>
    <row r="9" spans="1:9" ht="24.75" customHeight="1">
      <c r="A9" s="158" t="s">
        <v>157</v>
      </c>
      <c r="B9" s="159">
        <v>1</v>
      </c>
      <c r="C9" s="160">
        <v>2</v>
      </c>
      <c r="D9" s="159">
        <v>1.2</v>
      </c>
      <c r="E9" s="180">
        <f>D9*G8/C9</f>
        <v>6</v>
      </c>
      <c r="F9" s="323">
        <f>$H$8*H9</f>
        <v>116.89266000000001</v>
      </c>
      <c r="G9" s="331"/>
      <c r="H9" s="331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59">
        <v>0</v>
      </c>
      <c r="E10" s="159">
        <v>0</v>
      </c>
      <c r="F10" s="323">
        <f t="shared" ref="F10:F25" si="0">$H$8*H10</f>
        <v>192.21330800000001</v>
      </c>
      <c r="G10" s="331"/>
      <c r="H10" s="331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323">
        <f t="shared" si="0"/>
        <v>210.48760799999999</v>
      </c>
      <c r="G11" s="331"/>
      <c r="H11" s="331">
        <v>117198</v>
      </c>
    </row>
    <row r="12" spans="1:9" ht="24.75" customHeight="1">
      <c r="A12" s="158" t="s">
        <v>160</v>
      </c>
      <c r="B12" s="159">
        <v>0</v>
      </c>
      <c r="C12" s="160">
        <v>0</v>
      </c>
      <c r="D12" s="159">
        <v>0</v>
      </c>
      <c r="E12" s="159">
        <v>0</v>
      </c>
      <c r="F12" s="323">
        <f t="shared" si="0"/>
        <v>209.22681600000001</v>
      </c>
      <c r="G12" s="331"/>
      <c r="H12" s="331">
        <v>116496</v>
      </c>
    </row>
    <row r="13" spans="1:9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323">
        <f t="shared" si="0"/>
        <v>129.326368</v>
      </c>
      <c r="G13" s="331"/>
      <c r="H13" s="331">
        <v>72008</v>
      </c>
    </row>
    <row r="14" spans="1:9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323">
        <f t="shared" si="0"/>
        <v>142.89874</v>
      </c>
      <c r="G14" s="331"/>
      <c r="H14" s="331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323">
        <f t="shared" si="0"/>
        <v>292.74261200000001</v>
      </c>
      <c r="G15" s="331"/>
      <c r="H15" s="331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323">
        <f t="shared" si="0"/>
        <v>263.713864</v>
      </c>
      <c r="G16" s="331"/>
      <c r="H16" s="331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323">
        <f t="shared" si="0"/>
        <v>238.00592</v>
      </c>
      <c r="G17" s="331"/>
      <c r="H17" s="331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323">
        <f t="shared" si="0"/>
        <v>257.58591200000001</v>
      </c>
      <c r="G18" s="331"/>
      <c r="H18" s="331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323">
        <f t="shared" si="0"/>
        <v>195.25034400000001</v>
      </c>
      <c r="G19" s="331"/>
      <c r="H19" s="331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323">
        <f t="shared" si="0"/>
        <v>125.51884800000001</v>
      </c>
      <c r="G20" s="331"/>
      <c r="H20" s="331">
        <v>69888</v>
      </c>
    </row>
    <row r="21" spans="1:8" ht="24.75" customHeight="1">
      <c r="A21" s="158" t="s">
        <v>169</v>
      </c>
      <c r="B21" s="159">
        <v>69</v>
      </c>
      <c r="C21" s="160">
        <v>64</v>
      </c>
      <c r="D21" s="159">
        <v>82.853999999999999</v>
      </c>
      <c r="E21" s="180">
        <f>D21*G8/C21</f>
        <v>12.945937499999999</v>
      </c>
      <c r="F21" s="323">
        <f t="shared" si="0"/>
        <v>335.024044</v>
      </c>
      <c r="G21" s="331"/>
      <c r="H21" s="331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323">
        <f t="shared" si="0"/>
        <v>300.88208400000002</v>
      </c>
      <c r="G22" s="331"/>
      <c r="H22" s="331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23">
        <f t="shared" si="0"/>
        <v>161.850132</v>
      </c>
      <c r="G23" s="331"/>
      <c r="H23" s="331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323">
        <f t="shared" si="0"/>
        <v>157.866604</v>
      </c>
      <c r="G24" s="331"/>
      <c r="H24" s="331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83">
        <v>0</v>
      </c>
      <c r="E25" s="159">
        <v>0</v>
      </c>
      <c r="F25" s="323">
        <f t="shared" si="0"/>
        <v>339.88042799999999</v>
      </c>
      <c r="G25" s="331"/>
      <c r="H25" s="331">
        <v>189243</v>
      </c>
    </row>
    <row r="26" spans="1:8" ht="24.75" customHeight="1">
      <c r="A26" s="12">
        <v>2025</v>
      </c>
      <c r="B26" s="186">
        <f>SUM(B9:B25)</f>
        <v>70</v>
      </c>
      <c r="C26" s="186">
        <f>SUM(C9:C25)</f>
        <v>66</v>
      </c>
      <c r="D26" s="186">
        <f>SUM(D9:D25)</f>
        <v>84.054000000000002</v>
      </c>
      <c r="E26" s="186">
        <f>SUM(E9:E25)</f>
        <v>18.945937499999999</v>
      </c>
      <c r="F26" s="186">
        <f>SUM(F9:F25)</f>
        <v>3669.3662919999997</v>
      </c>
    </row>
    <row r="27" spans="1:8" ht="24.75" customHeight="1">
      <c r="A27" s="12">
        <f t="shared" ref="A27:A30" si="1">A26-1</f>
        <v>2024</v>
      </c>
      <c r="B27" s="167">
        <v>27</v>
      </c>
      <c r="C27" s="167">
        <v>68</v>
      </c>
      <c r="D27" s="167">
        <v>103.08199999999999</v>
      </c>
      <c r="E27" s="187">
        <v>15.159117647058823</v>
      </c>
      <c r="F27" s="188">
        <v>4298.1660800000009</v>
      </c>
    </row>
    <row r="28" spans="1:8" ht="24.75" customHeight="1">
      <c r="A28" s="12">
        <f t="shared" si="1"/>
        <v>2023</v>
      </c>
      <c r="B28" s="169">
        <v>48</v>
      </c>
      <c r="C28" s="169">
        <v>137</v>
      </c>
      <c r="D28" s="169">
        <v>137.60000000000002</v>
      </c>
      <c r="E28" s="170">
        <v>10.043795620437958</v>
      </c>
      <c r="F28" s="171">
        <v>5432.9578461922147</v>
      </c>
    </row>
    <row r="29" spans="1:8" ht="24.75" customHeight="1">
      <c r="A29" s="12">
        <f t="shared" si="1"/>
        <v>2022</v>
      </c>
      <c r="B29" s="169">
        <v>113</v>
      </c>
      <c r="C29" s="169">
        <v>208</v>
      </c>
      <c r="D29" s="169">
        <v>210.35</v>
      </c>
      <c r="E29" s="170">
        <v>10.11298076923077</v>
      </c>
      <c r="F29" s="171">
        <v>6957.3927707669764</v>
      </c>
    </row>
    <row r="30" spans="1:8" ht="24.75" customHeight="1">
      <c r="A30" s="12">
        <f t="shared" si="1"/>
        <v>2021</v>
      </c>
      <c r="B30" s="169">
        <v>92</v>
      </c>
      <c r="C30" s="169">
        <v>105</v>
      </c>
      <c r="D30" s="169">
        <v>363.5</v>
      </c>
      <c r="E30" s="170">
        <v>34.61904761904762</v>
      </c>
      <c r="F30" s="171">
        <v>6896.7446468049011</v>
      </c>
    </row>
    <row r="31" spans="1:8" ht="14.25" customHeight="1">
      <c r="A31" s="172"/>
      <c r="B31" s="169"/>
      <c r="C31" s="169"/>
      <c r="D31" s="169"/>
      <c r="E31" s="170"/>
      <c r="F31" s="171"/>
    </row>
    <row r="32" spans="1:8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000"/>
  <sheetViews>
    <sheetView topLeftCell="A22" workbookViewId="0">
      <selection activeCell="B26" sqref="B26:F26"/>
    </sheetView>
  </sheetViews>
  <sheetFormatPr defaultColWidth="14.42578125" defaultRowHeight="15" customHeight="1"/>
  <cols>
    <col min="1" max="1" width="26.140625" customWidth="1"/>
    <col min="2" max="5" width="8.7109375" customWidth="1"/>
    <col min="6" max="6" width="12" bestFit="1" customWidth="1"/>
    <col min="7" max="26" width="8.7109375" customWidth="1"/>
  </cols>
  <sheetData>
    <row r="1" spans="1:8" ht="14.25" customHeight="1">
      <c r="A1" s="429" t="s">
        <v>207</v>
      </c>
      <c r="B1" s="423"/>
      <c r="C1" s="423"/>
      <c r="D1" s="423"/>
      <c r="E1" s="423"/>
      <c r="F1" s="423"/>
    </row>
    <row r="2" spans="1:8" ht="14.25" customHeight="1">
      <c r="A2" s="429" t="s">
        <v>208</v>
      </c>
      <c r="B2" s="423"/>
      <c r="C2" s="423"/>
      <c r="D2" s="423"/>
      <c r="E2" s="423"/>
      <c r="F2" s="423"/>
    </row>
    <row r="3" spans="1:8" ht="14.25" customHeight="1">
      <c r="A3" s="429" t="s">
        <v>102</v>
      </c>
      <c r="B3" s="423"/>
      <c r="C3" s="423"/>
      <c r="D3" s="423"/>
      <c r="E3" s="423"/>
      <c r="F3" s="423"/>
    </row>
    <row r="4" spans="1:8" ht="14.25" customHeight="1">
      <c r="A4" s="137"/>
      <c r="B4" s="141"/>
      <c r="C4" s="122"/>
      <c r="D4" s="122"/>
      <c r="E4" s="123"/>
      <c r="F4" s="122"/>
    </row>
    <row r="5" spans="1:8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04" t="s">
        <v>147</v>
      </c>
    </row>
    <row r="6" spans="1:8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05" t="s">
        <v>178</v>
      </c>
    </row>
    <row r="7" spans="1:8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06" t="s">
        <v>156</v>
      </c>
    </row>
    <row r="8" spans="1:8" ht="14.25" customHeight="1" thickBot="1">
      <c r="A8" s="155" t="s">
        <v>8</v>
      </c>
      <c r="B8" s="156" t="s">
        <v>9</v>
      </c>
      <c r="C8" s="335" t="s">
        <v>10</v>
      </c>
      <c r="D8" s="335" t="s">
        <v>11</v>
      </c>
      <c r="E8" s="335" t="s">
        <v>12</v>
      </c>
      <c r="F8" s="336" t="s">
        <v>35</v>
      </c>
      <c r="G8">
        <v>10</v>
      </c>
      <c r="H8" s="351">
        <f>1.362/1000</f>
        <v>1.3620000000000001E-3</v>
      </c>
    </row>
    <row r="9" spans="1:8" ht="24.75" customHeight="1">
      <c r="A9" s="332" t="s">
        <v>157</v>
      </c>
      <c r="B9" s="169">
        <v>2</v>
      </c>
      <c r="C9" s="168">
        <v>0</v>
      </c>
      <c r="D9" s="334">
        <v>0</v>
      </c>
      <c r="E9" s="168">
        <v>0</v>
      </c>
      <c r="F9" s="323">
        <f>$H$8*H9</f>
        <v>88.645770000000013</v>
      </c>
      <c r="H9">
        <v>65085</v>
      </c>
    </row>
    <row r="10" spans="1:8" ht="24.75" customHeight="1">
      <c r="A10" s="332" t="s">
        <v>158</v>
      </c>
      <c r="B10" s="159">
        <v>0</v>
      </c>
      <c r="C10" s="160">
        <v>0</v>
      </c>
      <c r="D10" s="333">
        <v>0</v>
      </c>
      <c r="E10" s="180"/>
      <c r="F10" s="323">
        <f t="shared" ref="F10:F25" si="0">$H$8*H10</f>
        <v>145.76532600000002</v>
      </c>
      <c r="H10">
        <v>107023</v>
      </c>
    </row>
    <row r="11" spans="1:8" ht="24.75" customHeight="1">
      <c r="A11" s="332" t="s">
        <v>159</v>
      </c>
      <c r="B11" s="159">
        <v>0</v>
      </c>
      <c r="C11" s="160">
        <v>0</v>
      </c>
      <c r="D11" s="333">
        <v>0</v>
      </c>
      <c r="E11" s="161"/>
      <c r="F11" s="323">
        <f t="shared" si="0"/>
        <v>159.62367600000002</v>
      </c>
      <c r="H11">
        <v>117198</v>
      </c>
    </row>
    <row r="12" spans="1:8" ht="24.75" customHeight="1">
      <c r="A12" s="332" t="s">
        <v>160</v>
      </c>
      <c r="B12" s="159">
        <v>12</v>
      </c>
      <c r="C12" s="160">
        <v>15</v>
      </c>
      <c r="D12" s="333">
        <v>47.8</v>
      </c>
      <c r="E12" s="180">
        <f>D12*10/C12</f>
        <v>31.866666666666667</v>
      </c>
      <c r="F12" s="323">
        <f t="shared" si="0"/>
        <v>158.66755200000003</v>
      </c>
      <c r="H12">
        <v>116496</v>
      </c>
    </row>
    <row r="13" spans="1:8" ht="24.75" customHeight="1">
      <c r="A13" s="332" t="s">
        <v>161</v>
      </c>
      <c r="B13" s="159">
        <v>22</v>
      </c>
      <c r="C13" s="160">
        <v>10</v>
      </c>
      <c r="D13" s="333">
        <v>24</v>
      </c>
      <c r="E13" s="180">
        <f>D13*10/C13</f>
        <v>24</v>
      </c>
      <c r="F13" s="323">
        <f t="shared" si="0"/>
        <v>98.07489600000001</v>
      </c>
      <c r="H13">
        <v>72008</v>
      </c>
    </row>
    <row r="14" spans="1:8" ht="24.75" customHeight="1">
      <c r="A14" s="332" t="s">
        <v>162</v>
      </c>
      <c r="B14" s="159">
        <v>0</v>
      </c>
      <c r="C14" s="160">
        <v>0</v>
      </c>
      <c r="D14" s="160">
        <v>0</v>
      </c>
      <c r="E14" s="160">
        <v>0</v>
      </c>
      <c r="F14" s="323">
        <f t="shared" si="0"/>
        <v>108.36753000000002</v>
      </c>
      <c r="H14">
        <v>79565</v>
      </c>
    </row>
    <row r="15" spans="1:8" ht="24.75" customHeight="1">
      <c r="A15" s="332" t="s">
        <v>163</v>
      </c>
      <c r="B15" s="159">
        <v>0</v>
      </c>
      <c r="C15" s="160">
        <v>23</v>
      </c>
      <c r="D15" s="333">
        <v>170.2</v>
      </c>
      <c r="E15" s="180">
        <f>D15*G8/C15</f>
        <v>74</v>
      </c>
      <c r="F15" s="323">
        <f t="shared" si="0"/>
        <v>222.00191400000003</v>
      </c>
      <c r="H15">
        <v>162997</v>
      </c>
    </row>
    <row r="16" spans="1:8" ht="24.75" customHeight="1">
      <c r="A16" s="158" t="s">
        <v>164</v>
      </c>
      <c r="B16" s="159">
        <v>32</v>
      </c>
      <c r="C16" s="160">
        <v>32</v>
      </c>
      <c r="D16" s="337">
        <v>67.400000000000006</v>
      </c>
      <c r="E16" s="180">
        <f>D16*G8/C16</f>
        <v>21.0625</v>
      </c>
      <c r="F16" s="323">
        <f t="shared" si="0"/>
        <v>199.98790800000003</v>
      </c>
      <c r="H16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60">
        <v>0</v>
      </c>
      <c r="E17" s="160">
        <v>0</v>
      </c>
      <c r="F17" s="323">
        <f t="shared" si="0"/>
        <v>180.49224000000001</v>
      </c>
      <c r="H17">
        <v>132520</v>
      </c>
    </row>
    <row r="18" spans="1:8" ht="24.75" customHeight="1">
      <c r="A18" s="158" t="s">
        <v>166</v>
      </c>
      <c r="B18" s="159">
        <v>243</v>
      </c>
      <c r="C18" s="160">
        <v>243</v>
      </c>
      <c r="D18" s="337">
        <v>498.5</v>
      </c>
      <c r="E18" s="180">
        <f>D18*G8/C18</f>
        <v>20.514403292181068</v>
      </c>
      <c r="F18" s="323">
        <f t="shared" si="0"/>
        <v>195.34076400000001</v>
      </c>
      <c r="H18">
        <v>143422</v>
      </c>
    </row>
    <row r="19" spans="1:8" ht="24.75" customHeight="1">
      <c r="A19" s="158" t="s">
        <v>167</v>
      </c>
      <c r="B19" s="159">
        <v>961</v>
      </c>
      <c r="C19" s="160">
        <v>845</v>
      </c>
      <c r="D19" s="337">
        <v>4084.2</v>
      </c>
      <c r="E19" s="180">
        <f>D19*G8/C19</f>
        <v>48.333727810650885</v>
      </c>
      <c r="F19" s="323">
        <f t="shared" si="0"/>
        <v>148.06846800000002</v>
      </c>
      <c r="H19">
        <v>108714</v>
      </c>
    </row>
    <row r="20" spans="1:8" ht="24.75" customHeight="1">
      <c r="A20" s="158" t="s">
        <v>168</v>
      </c>
      <c r="B20" s="159">
        <v>167</v>
      </c>
      <c r="C20" s="160">
        <v>184</v>
      </c>
      <c r="D20" s="337">
        <v>425.4</v>
      </c>
      <c r="E20" s="180">
        <f>D20*G8/C20</f>
        <v>23.119565217391305</v>
      </c>
      <c r="F20" s="323">
        <f t="shared" si="0"/>
        <v>95.187456000000012</v>
      </c>
      <c r="H20">
        <v>69888</v>
      </c>
    </row>
    <row r="21" spans="1:8" ht="24.75" customHeight="1">
      <c r="A21" s="158" t="s">
        <v>169</v>
      </c>
      <c r="B21" s="159">
        <v>362</v>
      </c>
      <c r="C21" s="160">
        <v>358</v>
      </c>
      <c r="D21" s="159">
        <v>915.7700000000001</v>
      </c>
      <c r="E21" s="180">
        <f>D21*G8/C21</f>
        <v>25.580167597765364</v>
      </c>
      <c r="F21" s="323">
        <f t="shared" si="0"/>
        <v>254.06611800000002</v>
      </c>
      <c r="H21">
        <v>186539</v>
      </c>
    </row>
    <row r="22" spans="1:8" ht="24.75" customHeight="1">
      <c r="A22" s="158" t="s">
        <v>170</v>
      </c>
      <c r="B22" s="159">
        <v>34</v>
      </c>
      <c r="C22" s="160">
        <v>34</v>
      </c>
      <c r="D22" s="159">
        <v>126</v>
      </c>
      <c r="E22" s="180">
        <f>D22*G8/C22</f>
        <v>37.058823529411768</v>
      </c>
      <c r="F22" s="323">
        <f t="shared" si="0"/>
        <v>228.17449800000003</v>
      </c>
      <c r="H22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23">
        <f t="shared" si="0"/>
        <v>122.73935400000002</v>
      </c>
      <c r="H23">
        <v>90117</v>
      </c>
    </row>
    <row r="24" spans="1:8" ht="24.75" customHeight="1">
      <c r="A24" s="158" t="s">
        <v>172</v>
      </c>
      <c r="B24" s="159">
        <v>6</v>
      </c>
      <c r="C24" s="160">
        <v>6</v>
      </c>
      <c r="D24" s="159">
        <v>10.8</v>
      </c>
      <c r="E24" s="180">
        <f>D24*G8/C24</f>
        <v>18</v>
      </c>
      <c r="F24" s="323">
        <f t="shared" si="0"/>
        <v>119.71843800000001</v>
      </c>
      <c r="H24">
        <v>87899</v>
      </c>
    </row>
    <row r="25" spans="1:8" ht="24.75" customHeight="1">
      <c r="A25" s="182" t="s">
        <v>173</v>
      </c>
      <c r="B25" s="183">
        <v>102</v>
      </c>
      <c r="C25" s="184">
        <v>102</v>
      </c>
      <c r="D25" s="183">
        <v>808.8</v>
      </c>
      <c r="E25" s="180">
        <f>D25*G8/C25</f>
        <v>79.294117647058826</v>
      </c>
      <c r="F25" s="323">
        <f t="shared" si="0"/>
        <v>257.74896600000005</v>
      </c>
      <c r="H25">
        <v>189243</v>
      </c>
    </row>
    <row r="26" spans="1:8" ht="24.75" customHeight="1">
      <c r="A26" s="12">
        <v>2025</v>
      </c>
      <c r="B26" s="186">
        <f>SUM(B9:B25)</f>
        <v>1943</v>
      </c>
      <c r="C26" s="186">
        <f>SUM(C9:C25)</f>
        <v>1852</v>
      </c>
      <c r="D26" s="186">
        <f>SUM(D9:D25)</f>
        <v>7178.87</v>
      </c>
      <c r="E26" s="186">
        <f>SUM(E9:E25)</f>
        <v>402.82997176112593</v>
      </c>
      <c r="F26" s="316">
        <f>SUM(F9:F25)</f>
        <v>2782.6708739999999</v>
      </c>
    </row>
    <row r="27" spans="1:8" ht="24.75" customHeight="1">
      <c r="A27" s="12">
        <f t="shared" ref="A27:A30" si="1">A26-1</f>
        <v>2024</v>
      </c>
      <c r="B27" s="167">
        <v>1208</v>
      </c>
      <c r="C27" s="167">
        <v>2682</v>
      </c>
      <c r="D27" s="167">
        <v>7327.2000000000007</v>
      </c>
      <c r="E27" s="187">
        <v>27.319910514541387</v>
      </c>
      <c r="F27" s="310">
        <v>2810.3393599999999</v>
      </c>
    </row>
    <row r="28" spans="1:8" ht="24.75" customHeight="1">
      <c r="A28" s="12">
        <f t="shared" si="1"/>
        <v>2023</v>
      </c>
      <c r="B28" s="169">
        <v>1062</v>
      </c>
      <c r="C28" s="169">
        <v>2936</v>
      </c>
      <c r="D28" s="169">
        <v>10721.65</v>
      </c>
      <c r="E28" s="170">
        <v>36.517881471389643</v>
      </c>
      <c r="F28" s="311">
        <v>3110.0057181789407</v>
      </c>
    </row>
    <row r="29" spans="1:8" ht="24.75" customHeight="1">
      <c r="A29" s="12">
        <f t="shared" si="1"/>
        <v>2022</v>
      </c>
      <c r="B29" s="169">
        <v>1813</v>
      </c>
      <c r="C29" s="169">
        <v>3714</v>
      </c>
      <c r="D29" s="169">
        <v>15563.900000000001</v>
      </c>
      <c r="E29" s="170">
        <v>41.906031233171781</v>
      </c>
      <c r="F29" s="311">
        <v>3902.2865584365773</v>
      </c>
    </row>
    <row r="30" spans="1:8" ht="24.75" customHeight="1">
      <c r="A30" s="12">
        <f t="shared" si="1"/>
        <v>2021</v>
      </c>
      <c r="B30" s="169">
        <v>2129</v>
      </c>
      <c r="C30" s="169">
        <v>1965</v>
      </c>
      <c r="D30" s="169">
        <v>15538.28</v>
      </c>
      <c r="E30" s="170">
        <v>79.075216284987278</v>
      </c>
      <c r="F30" s="311">
        <v>3868.2700285769997</v>
      </c>
    </row>
    <row r="31" spans="1:8" ht="14.25" customHeight="1">
      <c r="A31" s="172"/>
      <c r="B31" s="169"/>
      <c r="C31" s="169"/>
      <c r="D31" s="169"/>
      <c r="E31" s="170"/>
      <c r="F31" s="311"/>
    </row>
    <row r="32" spans="1:8" ht="14.25" customHeight="1">
      <c r="A32" s="158"/>
      <c r="B32" s="159"/>
      <c r="C32" s="159"/>
      <c r="D32" s="159"/>
      <c r="E32" s="161"/>
      <c r="F32" s="309"/>
    </row>
    <row r="33" spans="1:6" ht="14.25" customHeight="1">
      <c r="A33" s="173"/>
      <c r="B33" s="174"/>
      <c r="C33" s="174"/>
      <c r="D33" s="174"/>
      <c r="E33" s="176"/>
      <c r="F33" s="312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000"/>
  <sheetViews>
    <sheetView topLeftCell="A21" workbookViewId="0">
      <selection activeCell="B26" sqref="B26:F26"/>
    </sheetView>
  </sheetViews>
  <sheetFormatPr defaultColWidth="14.42578125" defaultRowHeight="15" customHeight="1"/>
  <cols>
    <col min="1" max="1" width="19.5703125" customWidth="1"/>
    <col min="2" max="5" width="8.7109375" customWidth="1"/>
    <col min="6" max="6" width="11.5703125" customWidth="1"/>
    <col min="7" max="26" width="8.7109375" customWidth="1"/>
  </cols>
  <sheetData>
    <row r="1" spans="1:8" ht="14.25" customHeight="1">
      <c r="A1" s="429" t="s">
        <v>209</v>
      </c>
      <c r="B1" s="423"/>
      <c r="C1" s="423"/>
      <c r="D1" s="423"/>
      <c r="E1" s="423"/>
      <c r="F1" s="423"/>
    </row>
    <row r="2" spans="1:8" ht="14.25" customHeight="1">
      <c r="A2" s="429" t="s">
        <v>210</v>
      </c>
      <c r="B2" s="423"/>
      <c r="C2" s="423"/>
      <c r="D2" s="423"/>
      <c r="E2" s="423"/>
      <c r="F2" s="423"/>
    </row>
    <row r="3" spans="1:8" ht="14.25" customHeight="1">
      <c r="A3" s="429" t="s">
        <v>102</v>
      </c>
      <c r="B3" s="423"/>
      <c r="C3" s="423"/>
      <c r="D3" s="423"/>
      <c r="E3" s="423"/>
      <c r="F3" s="423"/>
    </row>
    <row r="4" spans="1:8" ht="14.25" customHeight="1">
      <c r="A4" s="137"/>
      <c r="B4" s="141"/>
      <c r="C4" s="122"/>
      <c r="D4" s="122"/>
      <c r="E4" s="123"/>
      <c r="F4" s="122"/>
    </row>
    <row r="5" spans="1:8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19" t="s">
        <v>147</v>
      </c>
    </row>
    <row r="6" spans="1:8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20" t="s">
        <v>178</v>
      </c>
    </row>
    <row r="7" spans="1:8" ht="14.25" customHeigh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21" t="s">
        <v>156</v>
      </c>
    </row>
    <row r="8" spans="1:8" ht="14.25" customHeigh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73" t="s">
        <v>35</v>
      </c>
      <c r="G8" s="338">
        <v>10</v>
      </c>
      <c r="H8" s="351">
        <f>1.893/1000</f>
        <v>1.8929999999999999E-3</v>
      </c>
    </row>
    <row r="9" spans="1:8" ht="24.75" customHeight="1">
      <c r="A9" s="158" t="s">
        <v>157</v>
      </c>
      <c r="B9" s="159">
        <v>1</v>
      </c>
      <c r="C9" s="160">
        <v>0</v>
      </c>
      <c r="D9" s="160">
        <v>0</v>
      </c>
      <c r="E9" s="160">
        <v>0</v>
      </c>
      <c r="F9" s="323">
        <f>$H$8*H9</f>
        <v>123.205905</v>
      </c>
      <c r="G9" s="338"/>
      <c r="H9" s="338">
        <v>65085</v>
      </c>
    </row>
    <row r="10" spans="1:8" ht="24.75" customHeight="1">
      <c r="A10" s="158" t="s">
        <v>158</v>
      </c>
      <c r="B10" s="159">
        <v>18</v>
      </c>
      <c r="C10" s="160">
        <v>15</v>
      </c>
      <c r="D10" s="339">
        <v>37.5</v>
      </c>
      <c r="E10" s="180">
        <f>D10*G8/C10</f>
        <v>25</v>
      </c>
      <c r="F10" s="323">
        <f t="shared" ref="F10:F25" si="0">$H$8*H10</f>
        <v>202.594539</v>
      </c>
      <c r="G10" s="338"/>
      <c r="H10" s="338">
        <v>107023</v>
      </c>
    </row>
    <row r="11" spans="1:8" ht="24.75" customHeight="1">
      <c r="A11" s="158" t="s">
        <v>159</v>
      </c>
      <c r="B11" s="159">
        <v>0.25</v>
      </c>
      <c r="C11" s="160">
        <v>0.5</v>
      </c>
      <c r="D11" s="339">
        <v>1.4</v>
      </c>
      <c r="E11" s="180">
        <f>D11*G8/C11</f>
        <v>28</v>
      </c>
      <c r="F11" s="323">
        <f t="shared" si="0"/>
        <v>221.85581399999998</v>
      </c>
      <c r="G11" s="338"/>
      <c r="H11" s="338">
        <v>117198</v>
      </c>
    </row>
    <row r="12" spans="1:8" ht="24.75" customHeight="1">
      <c r="A12" s="158" t="s">
        <v>160</v>
      </c>
      <c r="B12" s="159">
        <v>37</v>
      </c>
      <c r="C12" s="160">
        <v>41</v>
      </c>
      <c r="D12" s="339">
        <v>116.2</v>
      </c>
      <c r="E12" s="180">
        <f>D12*G8/C12</f>
        <v>28.341463414634145</v>
      </c>
      <c r="F12" s="323">
        <f t="shared" si="0"/>
        <v>220.526928</v>
      </c>
      <c r="G12" s="338"/>
      <c r="H12" s="338">
        <v>116496</v>
      </c>
    </row>
    <row r="13" spans="1:8" ht="24.75" customHeight="1">
      <c r="A13" s="158" t="s">
        <v>161</v>
      </c>
      <c r="B13" s="159">
        <v>56</v>
      </c>
      <c r="C13" s="160">
        <v>47</v>
      </c>
      <c r="D13" s="339">
        <v>112.8</v>
      </c>
      <c r="E13" s="180">
        <f>D13*G8/C13</f>
        <v>24</v>
      </c>
      <c r="F13" s="323">
        <f t="shared" si="0"/>
        <v>136.31114399999998</v>
      </c>
      <c r="G13" s="338"/>
      <c r="H13" s="338">
        <v>72008</v>
      </c>
    </row>
    <row r="14" spans="1:8" ht="24.75" customHeight="1">
      <c r="A14" s="158" t="s">
        <v>162</v>
      </c>
      <c r="B14" s="159">
        <v>4.2</v>
      </c>
      <c r="C14" s="160">
        <v>5</v>
      </c>
      <c r="D14" s="339">
        <v>1.8980000000000001</v>
      </c>
      <c r="E14" s="180">
        <f>D14*G8/C14</f>
        <v>3.7960000000000003</v>
      </c>
      <c r="F14" s="323">
        <f t="shared" si="0"/>
        <v>150.616545</v>
      </c>
      <c r="G14" s="338"/>
      <c r="H14" s="338">
        <v>79565</v>
      </c>
    </row>
    <row r="15" spans="1:8" ht="24.75" customHeight="1">
      <c r="A15" s="158" t="s">
        <v>163</v>
      </c>
      <c r="B15" s="159">
        <v>1273</v>
      </c>
      <c r="C15" s="160">
        <v>1330</v>
      </c>
      <c r="D15" s="339">
        <v>8340.7999999999993</v>
      </c>
      <c r="E15" s="180">
        <f>D15*G8/C15</f>
        <v>62.71278195488722</v>
      </c>
      <c r="F15" s="323">
        <f t="shared" si="0"/>
        <v>308.55332099999998</v>
      </c>
      <c r="G15" s="338"/>
      <c r="H15" s="338">
        <v>162997</v>
      </c>
    </row>
    <row r="16" spans="1:8" ht="24.75" customHeight="1">
      <c r="A16" s="158" t="s">
        <v>164</v>
      </c>
      <c r="B16" s="159">
        <v>767</v>
      </c>
      <c r="C16" s="160">
        <v>767</v>
      </c>
      <c r="D16" s="339">
        <v>2233.5</v>
      </c>
      <c r="E16" s="180">
        <f>D16*G8/C16</f>
        <v>29.119947848761409</v>
      </c>
      <c r="F16" s="323">
        <f t="shared" si="0"/>
        <v>277.95676199999997</v>
      </c>
      <c r="G16" s="338"/>
      <c r="H16" s="338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84">
        <v>0</v>
      </c>
      <c r="E17" s="184">
        <v>0</v>
      </c>
      <c r="F17" s="323">
        <f t="shared" si="0"/>
        <v>250.86035999999999</v>
      </c>
      <c r="G17" s="338"/>
      <c r="H17" s="338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84">
        <v>0</v>
      </c>
      <c r="E18" s="184">
        <v>0</v>
      </c>
      <c r="F18" s="323">
        <f t="shared" si="0"/>
        <v>271.49784599999998</v>
      </c>
      <c r="G18" s="338"/>
      <c r="H18" s="338">
        <v>143422</v>
      </c>
    </row>
    <row r="19" spans="1:8" ht="24.75" customHeight="1">
      <c r="A19" s="158" t="s">
        <v>167</v>
      </c>
      <c r="B19" s="159">
        <v>7</v>
      </c>
      <c r="C19" s="160">
        <v>7</v>
      </c>
      <c r="D19" s="339">
        <v>28.7</v>
      </c>
      <c r="E19" s="180">
        <f>D19*G8/C19</f>
        <v>41</v>
      </c>
      <c r="F19" s="323">
        <f t="shared" si="0"/>
        <v>205.795602</v>
      </c>
      <c r="G19" s="338"/>
      <c r="H19" s="338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339">
        <v>0</v>
      </c>
      <c r="E20" s="180"/>
      <c r="F20" s="323">
        <f t="shared" si="0"/>
        <v>132.29798399999999</v>
      </c>
      <c r="G20" s="338"/>
      <c r="H20" s="338">
        <v>69888</v>
      </c>
    </row>
    <row r="21" spans="1:8" ht="24.75" customHeight="1">
      <c r="A21" s="158" t="s">
        <v>169</v>
      </c>
      <c r="B21" s="159">
        <v>91</v>
      </c>
      <c r="C21" s="160">
        <v>85</v>
      </c>
      <c r="D21" s="159">
        <v>67.75</v>
      </c>
      <c r="E21" s="180">
        <f>D21*G8/C21</f>
        <v>7.9705882352941178</v>
      </c>
      <c r="F21" s="323">
        <f t="shared" si="0"/>
        <v>353.11832699999997</v>
      </c>
      <c r="G21" s="338"/>
      <c r="H21" s="338">
        <v>186539</v>
      </c>
    </row>
    <row r="22" spans="1:8" ht="24.75" customHeight="1">
      <c r="A22" s="158" t="s">
        <v>170</v>
      </c>
      <c r="B22" s="159">
        <v>46</v>
      </c>
      <c r="C22" s="160">
        <v>46</v>
      </c>
      <c r="D22" s="159">
        <v>165.6</v>
      </c>
      <c r="E22" s="180">
        <f>D22*G8/C22</f>
        <v>36</v>
      </c>
      <c r="F22" s="323">
        <f t="shared" si="0"/>
        <v>317.13239699999997</v>
      </c>
      <c r="G22" s="338"/>
      <c r="H22" s="338">
        <v>167529</v>
      </c>
    </row>
    <row r="23" spans="1:8" ht="24.75" customHeight="1">
      <c r="A23" s="158" t="s">
        <v>171</v>
      </c>
      <c r="B23" s="159">
        <v>21</v>
      </c>
      <c r="C23" s="160">
        <v>47</v>
      </c>
      <c r="D23" s="159">
        <v>140.6</v>
      </c>
      <c r="E23" s="180">
        <f>D23*G8/C23</f>
        <v>29.914893617021278</v>
      </c>
      <c r="F23" s="323">
        <f t="shared" si="0"/>
        <v>170.59148099999999</v>
      </c>
      <c r="G23" s="338"/>
      <c r="H23" s="338">
        <v>90117</v>
      </c>
    </row>
    <row r="24" spans="1:8" ht="24.75" customHeight="1">
      <c r="A24" s="158" t="s">
        <v>172</v>
      </c>
      <c r="B24" s="159">
        <v>15</v>
      </c>
      <c r="C24" s="160">
        <v>21</v>
      </c>
      <c r="D24" s="159">
        <v>24.9</v>
      </c>
      <c r="E24" s="180">
        <f>D24*G8/C24</f>
        <v>11.857142857142858</v>
      </c>
      <c r="F24" s="323">
        <f t="shared" si="0"/>
        <v>166.392807</v>
      </c>
      <c r="G24" s="338"/>
      <c r="H24" s="338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83">
        <v>0</v>
      </c>
      <c r="E25" s="184">
        <v>0</v>
      </c>
      <c r="F25" s="323">
        <f t="shared" si="0"/>
        <v>358.23699899999997</v>
      </c>
      <c r="G25" s="338"/>
      <c r="H25" s="338">
        <v>189243</v>
      </c>
    </row>
    <row r="26" spans="1:8" ht="24.75" customHeight="1">
      <c r="A26" s="12">
        <v>2025</v>
      </c>
      <c r="B26" s="186">
        <f>SUM(B9:B25)</f>
        <v>2336.4499999999998</v>
      </c>
      <c r="C26" s="186">
        <f>SUM(C9:C25)</f>
        <v>2411.5</v>
      </c>
      <c r="D26" s="186">
        <f>SUM(D9:D25)</f>
        <v>11271.648000000001</v>
      </c>
      <c r="E26" s="186">
        <f>SUM(E9:E25)</f>
        <v>327.71281792774096</v>
      </c>
      <c r="F26" s="326">
        <f>SUM(F9:F25)</f>
        <v>3867.5447610000001</v>
      </c>
    </row>
    <row r="27" spans="1:8" ht="24.75" customHeight="1">
      <c r="A27" s="12">
        <f t="shared" ref="A27:A30" si="1">A26-1</f>
        <v>2024</v>
      </c>
      <c r="B27" s="167">
        <v>2723.25</v>
      </c>
      <c r="C27" s="167">
        <v>8276.25</v>
      </c>
      <c r="D27" s="167">
        <v>42201.97</v>
      </c>
      <c r="E27" s="187">
        <v>50.991656849418519</v>
      </c>
      <c r="F27" s="327">
        <v>3905.5451399999997</v>
      </c>
    </row>
    <row r="28" spans="1:8" ht="24.75" customHeight="1">
      <c r="A28" s="12">
        <f t="shared" si="1"/>
        <v>2023</v>
      </c>
      <c r="B28" s="169">
        <v>2297</v>
      </c>
      <c r="C28" s="169">
        <v>6189</v>
      </c>
      <c r="D28" s="169">
        <v>28847.920000000002</v>
      </c>
      <c r="E28" s="170">
        <v>46.611601227985133</v>
      </c>
      <c r="F28" s="324">
        <v>4646.1229187793951</v>
      </c>
    </row>
    <row r="29" spans="1:8" ht="24.75" customHeight="1">
      <c r="A29" s="12">
        <f t="shared" si="1"/>
        <v>2022</v>
      </c>
      <c r="B29" s="169">
        <v>3279</v>
      </c>
      <c r="C29" s="169">
        <v>9855</v>
      </c>
      <c r="D29" s="169">
        <v>62098.880000000005</v>
      </c>
      <c r="E29" s="170">
        <v>63.012562151192292</v>
      </c>
      <c r="F29" s="324">
        <v>4549.2978012861649</v>
      </c>
    </row>
    <row r="30" spans="1:8" ht="24.75" customHeight="1">
      <c r="A30" s="12">
        <f t="shared" si="1"/>
        <v>2021</v>
      </c>
      <c r="B30" s="169">
        <v>4442</v>
      </c>
      <c r="C30" s="169">
        <v>3297</v>
      </c>
      <c r="D30" s="169">
        <v>47741.999999999993</v>
      </c>
      <c r="E30" s="170">
        <v>144.80436760691501</v>
      </c>
      <c r="F30" s="324">
        <v>4509.6412250249996</v>
      </c>
    </row>
    <row r="31" spans="1:8" ht="14.25" customHeight="1">
      <c r="A31" s="172"/>
      <c r="B31" s="169"/>
      <c r="C31" s="169"/>
      <c r="D31" s="169"/>
      <c r="E31" s="170"/>
      <c r="F31" s="324"/>
    </row>
    <row r="32" spans="1:8" ht="14.25" customHeight="1">
      <c r="A32" s="158"/>
      <c r="B32" s="159"/>
      <c r="C32" s="159"/>
      <c r="D32" s="159"/>
      <c r="E32" s="161"/>
      <c r="F32" s="325"/>
    </row>
    <row r="33" spans="1:6" ht="14.25" customHeight="1">
      <c r="A33" s="173"/>
      <c r="B33" s="174"/>
      <c r="C33" s="174"/>
      <c r="D33" s="174"/>
      <c r="E33" s="176"/>
      <c r="F33" s="328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1000"/>
  <sheetViews>
    <sheetView topLeftCell="A16" workbookViewId="0">
      <selection activeCell="B26" sqref="B26:F26"/>
    </sheetView>
  </sheetViews>
  <sheetFormatPr defaultColWidth="14.42578125" defaultRowHeight="15" customHeight="1"/>
  <cols>
    <col min="1" max="1" width="26.42578125" customWidth="1"/>
    <col min="2" max="5" width="8.7109375" customWidth="1"/>
    <col min="6" max="6" width="11.140625" customWidth="1"/>
    <col min="7" max="26" width="8.7109375" customWidth="1"/>
  </cols>
  <sheetData>
    <row r="1" spans="1:10" ht="14.25" customHeight="1">
      <c r="A1" s="429" t="s">
        <v>211</v>
      </c>
      <c r="B1" s="423"/>
      <c r="C1" s="423"/>
      <c r="D1" s="423"/>
      <c r="E1" s="423"/>
      <c r="F1" s="423"/>
    </row>
    <row r="2" spans="1:10" ht="14.25" customHeight="1">
      <c r="A2" s="429" t="s">
        <v>212</v>
      </c>
      <c r="B2" s="423"/>
      <c r="C2" s="423"/>
      <c r="D2" s="423"/>
      <c r="E2" s="423"/>
      <c r="F2" s="423"/>
    </row>
    <row r="3" spans="1:10" ht="14.25" customHeight="1">
      <c r="A3" s="429" t="s">
        <v>102</v>
      </c>
      <c r="B3" s="423"/>
      <c r="C3" s="423"/>
      <c r="D3" s="423"/>
      <c r="E3" s="423"/>
      <c r="F3" s="423"/>
    </row>
    <row r="4" spans="1:10" ht="14.25" customHeight="1">
      <c r="A4" s="137"/>
      <c r="B4" s="141"/>
      <c r="C4" s="122"/>
      <c r="D4" s="122"/>
      <c r="E4" s="123"/>
      <c r="F4" s="122"/>
    </row>
    <row r="5" spans="1:10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19" t="s">
        <v>147</v>
      </c>
    </row>
    <row r="6" spans="1:10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20" t="s">
        <v>178</v>
      </c>
    </row>
    <row r="7" spans="1:10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21" t="s">
        <v>156</v>
      </c>
      <c r="H7" s="356" t="s">
        <v>252</v>
      </c>
      <c r="I7" s="360" t="s">
        <v>250</v>
      </c>
    </row>
    <row r="8" spans="1:10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73" t="s">
        <v>35</v>
      </c>
      <c r="G8" s="338">
        <v>10</v>
      </c>
      <c r="H8" s="380">
        <f>1.404/1000</f>
        <v>1.4039999999999999E-3</v>
      </c>
      <c r="I8" s="378">
        <f>0.027*52</f>
        <v>1.4039999999999999</v>
      </c>
      <c r="J8" s="378">
        <v>2.7E-2</v>
      </c>
    </row>
    <row r="9" spans="1:10" ht="24.75" customHeight="1">
      <c r="A9" s="158" t="s">
        <v>157</v>
      </c>
      <c r="B9" s="159">
        <v>0</v>
      </c>
      <c r="C9" s="160">
        <v>0</v>
      </c>
      <c r="D9" s="159">
        <v>0</v>
      </c>
      <c r="E9" s="180"/>
      <c r="F9" s="323">
        <f>$H$8*H9</f>
        <v>91.379339999999985</v>
      </c>
      <c r="G9" s="338"/>
      <c r="H9" s="338">
        <v>65085</v>
      </c>
    </row>
    <row r="10" spans="1:10" ht="24.75" customHeight="1">
      <c r="A10" s="158" t="s">
        <v>158</v>
      </c>
      <c r="B10" s="159">
        <v>0</v>
      </c>
      <c r="C10" s="160">
        <v>0</v>
      </c>
      <c r="D10" s="159">
        <v>0</v>
      </c>
      <c r="E10" s="180"/>
      <c r="F10" s="323">
        <f t="shared" ref="F10:F25" si="0">$H$8*H10</f>
        <v>150.26029199999999</v>
      </c>
      <c r="G10" s="338"/>
      <c r="H10" s="338">
        <v>107023</v>
      </c>
    </row>
    <row r="11" spans="1:10" ht="24.75" customHeight="1">
      <c r="A11" s="158" t="s">
        <v>159</v>
      </c>
      <c r="B11" s="159">
        <v>0.25</v>
      </c>
      <c r="C11" s="160">
        <v>0.5</v>
      </c>
      <c r="D11" s="159">
        <v>2</v>
      </c>
      <c r="E11" s="180">
        <f>D11*G8/C11</f>
        <v>40</v>
      </c>
      <c r="F11" s="323">
        <f t="shared" si="0"/>
        <v>164.54599199999998</v>
      </c>
      <c r="G11" s="338"/>
      <c r="H11" s="338">
        <v>117198</v>
      </c>
    </row>
    <row r="12" spans="1:10" ht="24.75" customHeight="1">
      <c r="A12" s="158" t="s">
        <v>160</v>
      </c>
      <c r="B12" s="159">
        <v>44</v>
      </c>
      <c r="C12" s="160">
        <v>46</v>
      </c>
      <c r="D12" s="159">
        <v>715</v>
      </c>
      <c r="E12" s="180">
        <f>D12*G8/C12</f>
        <v>155.43478260869566</v>
      </c>
      <c r="F12" s="323">
        <f t="shared" si="0"/>
        <v>163.56038399999997</v>
      </c>
      <c r="G12" s="338"/>
      <c r="H12" s="338">
        <v>116496</v>
      </c>
    </row>
    <row r="13" spans="1:10" ht="24.75" customHeight="1">
      <c r="A13" s="158" t="s">
        <v>161</v>
      </c>
      <c r="B13" s="159">
        <v>58</v>
      </c>
      <c r="C13" s="160">
        <v>51</v>
      </c>
      <c r="D13" s="159">
        <v>408</v>
      </c>
      <c r="E13" s="180">
        <f>D13*G8/C13</f>
        <v>80</v>
      </c>
      <c r="F13" s="323">
        <f t="shared" si="0"/>
        <v>101.09923199999999</v>
      </c>
      <c r="G13" s="338"/>
      <c r="H13" s="338">
        <v>72008</v>
      </c>
    </row>
    <row r="14" spans="1:10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323">
        <f t="shared" si="0"/>
        <v>111.70925999999999</v>
      </c>
      <c r="G14" s="338"/>
      <c r="H14" s="338">
        <v>79565</v>
      </c>
    </row>
    <row r="15" spans="1:10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323">
        <f t="shared" si="0"/>
        <v>228.84778799999998</v>
      </c>
      <c r="G15" s="338"/>
      <c r="H15" s="338">
        <v>162997</v>
      </c>
    </row>
    <row r="16" spans="1:10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323">
        <f t="shared" si="0"/>
        <v>206.15493599999999</v>
      </c>
      <c r="G16" s="338"/>
      <c r="H16" s="338">
        <v>146834</v>
      </c>
    </row>
    <row r="17" spans="1:8" ht="24.75" customHeight="1">
      <c r="A17" s="158" t="s">
        <v>165</v>
      </c>
      <c r="B17" s="159">
        <v>1</v>
      </c>
      <c r="C17" s="160">
        <v>0</v>
      </c>
      <c r="D17" s="159">
        <v>0</v>
      </c>
      <c r="E17" s="159">
        <v>0</v>
      </c>
      <c r="F17" s="323">
        <f t="shared" si="0"/>
        <v>186.05807999999999</v>
      </c>
      <c r="G17" s="338"/>
      <c r="H17" s="338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323">
        <f t="shared" si="0"/>
        <v>201.36448799999999</v>
      </c>
      <c r="G18" s="338"/>
      <c r="H18" s="338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323">
        <f t="shared" si="0"/>
        <v>152.63445599999997</v>
      </c>
      <c r="G19" s="338"/>
      <c r="H19" s="338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323">
        <f t="shared" si="0"/>
        <v>98.122751999999991</v>
      </c>
      <c r="G20" s="338"/>
      <c r="H20" s="338">
        <v>69888</v>
      </c>
    </row>
    <row r="21" spans="1:8" ht="24.75" customHeight="1">
      <c r="A21" s="158" t="s">
        <v>169</v>
      </c>
      <c r="B21" s="159">
        <v>128</v>
      </c>
      <c r="C21" s="160">
        <v>124</v>
      </c>
      <c r="D21" s="159">
        <v>111.345</v>
      </c>
      <c r="E21" s="180">
        <f>D21*G8/C21</f>
        <v>8.9794354838709687</v>
      </c>
      <c r="F21" s="323">
        <f t="shared" si="0"/>
        <v>261.900756</v>
      </c>
      <c r="G21" s="338"/>
      <c r="H21" s="338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323">
        <f t="shared" si="0"/>
        <v>235.21071599999999</v>
      </c>
      <c r="G22" s="338"/>
      <c r="H22" s="338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23">
        <f t="shared" si="0"/>
        <v>126.52426799999999</v>
      </c>
      <c r="G23" s="338"/>
      <c r="H23" s="338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323">
        <f t="shared" si="0"/>
        <v>123.41019599999998</v>
      </c>
      <c r="G24" s="338"/>
      <c r="H24" s="338">
        <v>87899</v>
      </c>
    </row>
    <row r="25" spans="1:8" ht="24.75" customHeight="1">
      <c r="A25" s="182" t="s">
        <v>173</v>
      </c>
      <c r="B25" s="183">
        <v>64</v>
      </c>
      <c r="C25" s="184">
        <v>64</v>
      </c>
      <c r="D25" s="183">
        <v>868</v>
      </c>
      <c r="E25" s="180">
        <f>D25*G8/C25</f>
        <v>135.625</v>
      </c>
      <c r="F25" s="323">
        <f t="shared" si="0"/>
        <v>265.69717199999997</v>
      </c>
      <c r="G25" s="338"/>
      <c r="H25" s="338">
        <v>189243</v>
      </c>
    </row>
    <row r="26" spans="1:8" ht="24.75" customHeight="1">
      <c r="A26" s="12">
        <v>2025</v>
      </c>
      <c r="B26" s="186">
        <v>295.25</v>
      </c>
      <c r="C26" s="186">
        <f>SUM(C9:C25)</f>
        <v>285.5</v>
      </c>
      <c r="D26" s="186">
        <f>SUM(D9:D25)</f>
        <v>2104.3450000000003</v>
      </c>
      <c r="E26" s="186">
        <f>SUM(E9:E25)</f>
        <v>420.03921809256661</v>
      </c>
      <c r="F26" s="326">
        <f>SUM(F9:F25)</f>
        <v>2868.4801080000002</v>
      </c>
    </row>
    <row r="27" spans="1:8" ht="24.75" customHeight="1">
      <c r="A27" s="12">
        <f t="shared" ref="A27:A30" si="1">A26-1</f>
        <v>2024</v>
      </c>
      <c r="B27" s="167">
        <v>167.25</v>
      </c>
      <c r="C27" s="167">
        <v>424.25</v>
      </c>
      <c r="D27" s="167">
        <v>5456.4</v>
      </c>
      <c r="E27" s="187">
        <v>128.61284619917501</v>
      </c>
      <c r="F27" s="327">
        <v>2041.6288879999997</v>
      </c>
    </row>
    <row r="28" spans="1:8" ht="24.75" customHeight="1">
      <c r="A28" s="12">
        <f t="shared" si="1"/>
        <v>2023</v>
      </c>
      <c r="B28" s="169">
        <v>161</v>
      </c>
      <c r="C28" s="169">
        <v>418</v>
      </c>
      <c r="D28" s="169">
        <v>5048.3999999999996</v>
      </c>
      <c r="E28" s="170">
        <v>120.77511961722487</v>
      </c>
      <c r="F28" s="324">
        <v>2904.0982003800095</v>
      </c>
    </row>
    <row r="29" spans="1:8" ht="24.75" customHeight="1">
      <c r="A29" s="12">
        <f t="shared" si="1"/>
        <v>2022</v>
      </c>
      <c r="B29" s="169">
        <v>201</v>
      </c>
      <c r="C29" s="169">
        <v>451</v>
      </c>
      <c r="D29" s="169">
        <v>5144.6000000000004</v>
      </c>
      <c r="E29" s="170">
        <v>114.0709534368071</v>
      </c>
      <c r="F29" s="324">
        <v>404.38202678099248</v>
      </c>
    </row>
    <row r="30" spans="1:8" ht="24.75" customHeight="1">
      <c r="A30" s="12">
        <f t="shared" si="1"/>
        <v>2021</v>
      </c>
      <c r="B30" s="169">
        <v>170</v>
      </c>
      <c r="C30" s="169">
        <v>167</v>
      </c>
      <c r="D30" s="169">
        <v>2433.1</v>
      </c>
      <c r="E30" s="170">
        <v>145.69461077844312</v>
      </c>
      <c r="F30" s="324">
        <v>400.85699778000003</v>
      </c>
    </row>
    <row r="31" spans="1:8" ht="14.25" customHeight="1">
      <c r="A31" s="172"/>
      <c r="B31" s="169"/>
      <c r="C31" s="169"/>
      <c r="D31" s="169"/>
      <c r="E31" s="170"/>
      <c r="F31" s="324"/>
    </row>
    <row r="32" spans="1:8" ht="14.25" customHeight="1">
      <c r="A32" s="158"/>
      <c r="B32" s="159"/>
      <c r="C32" s="159"/>
      <c r="D32" s="159"/>
      <c r="E32" s="161"/>
      <c r="F32" s="325"/>
    </row>
    <row r="33" spans="1:6" ht="14.25" customHeight="1">
      <c r="A33" s="173"/>
      <c r="B33" s="174"/>
      <c r="C33" s="174"/>
      <c r="D33" s="174"/>
      <c r="E33" s="176"/>
      <c r="F33" s="328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1000"/>
  <sheetViews>
    <sheetView topLeftCell="A19" workbookViewId="0">
      <selection activeCell="B26" sqref="B26:F26"/>
    </sheetView>
  </sheetViews>
  <sheetFormatPr defaultColWidth="14.42578125" defaultRowHeight="15" customHeight="1"/>
  <cols>
    <col min="1" max="1" width="24.5703125" customWidth="1"/>
    <col min="2" max="5" width="8.7109375" customWidth="1"/>
    <col min="6" max="6" width="11.28515625" customWidth="1"/>
    <col min="7" max="26" width="8.7109375" customWidth="1"/>
  </cols>
  <sheetData>
    <row r="1" spans="1:9" ht="14.25" customHeight="1">
      <c r="A1" s="429" t="s">
        <v>213</v>
      </c>
      <c r="B1" s="423"/>
      <c r="C1" s="423"/>
      <c r="D1" s="423"/>
      <c r="E1" s="423"/>
      <c r="F1" s="423"/>
    </row>
    <row r="2" spans="1:9" ht="14.25" customHeight="1">
      <c r="A2" s="429" t="s">
        <v>214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319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320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321" t="s">
        <v>156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373" t="s">
        <v>35</v>
      </c>
      <c r="G8" s="338">
        <v>10</v>
      </c>
      <c r="H8" s="381">
        <f>2.074/1000</f>
        <v>2.0739999999999999E-3</v>
      </c>
      <c r="I8" s="378">
        <f>0.052*52</f>
        <v>2.7039999999999997</v>
      </c>
    </row>
    <row r="9" spans="1:9" ht="24.75" customHeight="1">
      <c r="A9" s="158" t="s">
        <v>157</v>
      </c>
      <c r="B9" s="159">
        <v>0</v>
      </c>
      <c r="C9" s="160">
        <v>0</v>
      </c>
      <c r="D9" s="159">
        <v>0</v>
      </c>
      <c r="E9" s="159">
        <v>0</v>
      </c>
      <c r="F9" s="323">
        <f>$H$8*H9</f>
        <v>134.98629</v>
      </c>
      <c r="G9" s="338"/>
      <c r="H9" s="338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59">
        <v>0</v>
      </c>
      <c r="E10" s="159">
        <v>0</v>
      </c>
      <c r="F10" s="323">
        <f t="shared" ref="F10:F25" si="0">$H$8*H10</f>
        <v>221.96570199999999</v>
      </c>
      <c r="G10" s="338"/>
      <c r="H10" s="338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323">
        <f t="shared" si="0"/>
        <v>243.06865199999999</v>
      </c>
      <c r="G11" s="338"/>
      <c r="H11" s="338">
        <v>117198</v>
      </c>
    </row>
    <row r="12" spans="1:9" ht="24.75" customHeight="1">
      <c r="A12" s="158" t="s">
        <v>160</v>
      </c>
      <c r="B12" s="159">
        <v>0</v>
      </c>
      <c r="C12" s="160">
        <v>0</v>
      </c>
      <c r="D12" s="159">
        <v>0</v>
      </c>
      <c r="E12" s="159">
        <v>0</v>
      </c>
      <c r="F12" s="323">
        <f t="shared" si="0"/>
        <v>241.61270399999998</v>
      </c>
      <c r="G12" s="338"/>
      <c r="H12" s="338">
        <v>116496</v>
      </c>
    </row>
    <row r="13" spans="1:9" ht="24.75" customHeight="1">
      <c r="A13" s="158" t="s">
        <v>161</v>
      </c>
      <c r="B13" s="159">
        <v>20</v>
      </c>
      <c r="C13" s="160">
        <v>20</v>
      </c>
      <c r="D13" s="159">
        <v>180</v>
      </c>
      <c r="E13" s="180">
        <f>D13*G8/C13</f>
        <v>90</v>
      </c>
      <c r="F13" s="323">
        <f t="shared" si="0"/>
        <v>149.34459200000001</v>
      </c>
      <c r="G13" s="338"/>
      <c r="H13" s="338">
        <v>72008</v>
      </c>
    </row>
    <row r="14" spans="1:9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323">
        <f t="shared" si="0"/>
        <v>165.01781</v>
      </c>
      <c r="G14" s="338"/>
      <c r="H14" s="338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323">
        <f t="shared" si="0"/>
        <v>338.05577799999998</v>
      </c>
      <c r="G15" s="338"/>
      <c r="H15" s="338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323">
        <f t="shared" si="0"/>
        <v>304.53371599999997</v>
      </c>
      <c r="G16" s="338"/>
      <c r="H16" s="338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323">
        <f t="shared" si="0"/>
        <v>274.84647999999999</v>
      </c>
      <c r="G17" s="338"/>
      <c r="H17" s="338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323">
        <f t="shared" si="0"/>
        <v>297.45722799999999</v>
      </c>
      <c r="G18" s="338"/>
      <c r="H18" s="338">
        <v>143422</v>
      </c>
    </row>
    <row r="19" spans="1:8" ht="24.75" customHeight="1">
      <c r="A19" s="158" t="s">
        <v>167</v>
      </c>
      <c r="B19" s="159">
        <v>5</v>
      </c>
      <c r="C19" s="160">
        <v>5</v>
      </c>
      <c r="D19" s="159">
        <v>5.5</v>
      </c>
      <c r="E19" s="180">
        <f>D19*G8/C19</f>
        <v>11</v>
      </c>
      <c r="F19" s="323">
        <f t="shared" si="0"/>
        <v>225.472836</v>
      </c>
      <c r="G19" s="338"/>
      <c r="H19" s="338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323">
        <f t="shared" si="0"/>
        <v>144.947712</v>
      </c>
      <c r="G20" s="338"/>
      <c r="H20" s="338">
        <v>69888</v>
      </c>
    </row>
    <row r="21" spans="1:8" ht="24.75" customHeight="1">
      <c r="A21" s="158" t="s">
        <v>169</v>
      </c>
      <c r="B21" s="159">
        <v>125</v>
      </c>
      <c r="C21" s="160">
        <v>118</v>
      </c>
      <c r="D21" s="159">
        <v>319.77</v>
      </c>
      <c r="E21" s="180">
        <f>D21*G8/C21</f>
        <v>27.099152542372881</v>
      </c>
      <c r="F21" s="323">
        <f t="shared" si="0"/>
        <v>386.88188599999995</v>
      </c>
      <c r="G21" s="338"/>
      <c r="H21" s="338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323">
        <f t="shared" si="0"/>
        <v>347.45514599999996</v>
      </c>
      <c r="G22" s="338"/>
      <c r="H22" s="338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323">
        <f t="shared" si="0"/>
        <v>186.902658</v>
      </c>
      <c r="G23" s="338"/>
      <c r="H23" s="338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323">
        <f t="shared" si="0"/>
        <v>182.302526</v>
      </c>
      <c r="G24" s="338"/>
      <c r="H24" s="338">
        <v>87899</v>
      </c>
    </row>
    <row r="25" spans="1:8" ht="24.75" customHeight="1">
      <c r="A25" s="182" t="s">
        <v>173</v>
      </c>
      <c r="B25" s="183">
        <v>51</v>
      </c>
      <c r="C25" s="184">
        <v>51</v>
      </c>
      <c r="D25" s="183">
        <v>675.4</v>
      </c>
      <c r="E25" s="180">
        <f>D25*G8/C25</f>
        <v>132.43137254901961</v>
      </c>
      <c r="F25" s="323">
        <f t="shared" si="0"/>
        <v>392.489982</v>
      </c>
      <c r="G25" s="338"/>
      <c r="H25" s="338">
        <v>189243</v>
      </c>
    </row>
    <row r="26" spans="1:8" ht="24.75" customHeight="1">
      <c r="A26" s="12">
        <v>2025</v>
      </c>
      <c r="B26" s="186">
        <f>SUM(B9:B25)</f>
        <v>201</v>
      </c>
      <c r="C26" s="186">
        <f>SUM(C9:C25)</f>
        <v>194</v>
      </c>
      <c r="D26" s="186">
        <f>SUM(D9:D25)</f>
        <v>1180.67</v>
      </c>
      <c r="E26" s="186">
        <f>SUM(E9:E25)</f>
        <v>260.53052509139252</v>
      </c>
      <c r="F26" s="326">
        <f>SUM(F9:F25)</f>
        <v>4237.3416980000002</v>
      </c>
    </row>
    <row r="27" spans="1:8" ht="24.75" customHeight="1">
      <c r="A27" s="12">
        <f t="shared" ref="A27:A30" si="1">A26-1</f>
        <v>2024</v>
      </c>
      <c r="B27" s="167">
        <v>117</v>
      </c>
      <c r="C27" s="167">
        <v>273</v>
      </c>
      <c r="D27" s="167">
        <v>2880.76</v>
      </c>
      <c r="E27" s="187">
        <v>105.52234432234432</v>
      </c>
      <c r="F27" s="327">
        <v>5695.0700560000005</v>
      </c>
    </row>
    <row r="28" spans="1:8" ht="24.75" customHeight="1">
      <c r="A28" s="12">
        <f t="shared" si="1"/>
        <v>2023</v>
      </c>
      <c r="B28" s="169">
        <v>122</v>
      </c>
      <c r="C28" s="169">
        <v>345</v>
      </c>
      <c r="D28" s="169">
        <v>2702.2</v>
      </c>
      <c r="E28" s="170">
        <v>78.324637681159416</v>
      </c>
      <c r="F28" s="324">
        <v>5767.7962443094466</v>
      </c>
    </row>
    <row r="29" spans="1:8" ht="24.75" customHeight="1">
      <c r="A29" s="12">
        <f t="shared" si="1"/>
        <v>2022</v>
      </c>
      <c r="B29" s="169">
        <v>291</v>
      </c>
      <c r="C29" s="169">
        <v>664</v>
      </c>
      <c r="D29" s="169">
        <v>4743.6000000000004</v>
      </c>
      <c r="E29" s="170">
        <v>71.439759036144579</v>
      </c>
      <c r="F29" s="324">
        <v>5165.9803921271778</v>
      </c>
    </row>
    <row r="30" spans="1:8" ht="24.75" customHeight="1">
      <c r="A30" s="12">
        <f t="shared" si="1"/>
        <v>2021</v>
      </c>
      <c r="B30" s="169">
        <v>195</v>
      </c>
      <c r="C30" s="169">
        <v>206</v>
      </c>
      <c r="D30" s="169">
        <v>2133.5</v>
      </c>
      <c r="E30" s="170">
        <v>103.56796116504854</v>
      </c>
      <c r="F30" s="324">
        <v>5120.9481466394991</v>
      </c>
    </row>
    <row r="31" spans="1:8" ht="14.25" customHeight="1">
      <c r="A31" s="172"/>
      <c r="B31" s="169"/>
      <c r="C31" s="169"/>
      <c r="D31" s="169"/>
      <c r="E31" s="170"/>
      <c r="F31" s="324"/>
    </row>
    <row r="32" spans="1:8" ht="14.25" customHeight="1">
      <c r="A32" s="158"/>
      <c r="B32" s="159"/>
      <c r="C32" s="159"/>
      <c r="D32" s="159"/>
      <c r="E32" s="161"/>
      <c r="F32" s="325"/>
    </row>
    <row r="33" spans="1:6" ht="14.25" customHeight="1">
      <c r="A33" s="173"/>
      <c r="B33" s="174"/>
      <c r="C33" s="174"/>
      <c r="D33" s="174"/>
      <c r="E33" s="176"/>
      <c r="F33" s="328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1000"/>
  <sheetViews>
    <sheetView topLeftCell="A20" workbookViewId="0">
      <selection activeCell="B26" sqref="B26:F26"/>
    </sheetView>
  </sheetViews>
  <sheetFormatPr defaultColWidth="14.42578125" defaultRowHeight="15" customHeight="1"/>
  <cols>
    <col min="1" max="1" width="21.85546875" customWidth="1"/>
    <col min="2" max="26" width="8.7109375" customWidth="1"/>
  </cols>
  <sheetData>
    <row r="1" spans="1:9" ht="14.25" customHeight="1">
      <c r="A1" s="429" t="s">
        <v>215</v>
      </c>
      <c r="B1" s="423"/>
      <c r="C1" s="423"/>
      <c r="D1" s="423"/>
      <c r="E1" s="423"/>
      <c r="F1" s="423"/>
    </row>
    <row r="2" spans="1:9" ht="14.25" customHeight="1">
      <c r="A2" s="429" t="s">
        <v>216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50">
        <f>0.728/1000</f>
        <v>7.2800000000000002E-4</v>
      </c>
      <c r="I8" s="378">
        <f>0.014*52</f>
        <v>0.72799999999999998</v>
      </c>
    </row>
    <row r="9" spans="1:9" ht="24.75" customHeight="1">
      <c r="A9" s="158" t="s">
        <v>157</v>
      </c>
      <c r="B9" s="159">
        <v>0</v>
      </c>
      <c r="C9" s="160">
        <v>0</v>
      </c>
      <c r="D9" s="159">
        <v>0</v>
      </c>
      <c r="E9" s="159">
        <v>0</v>
      </c>
      <c r="F9" s="162">
        <f>$H$8*H9</f>
        <v>47.381880000000002</v>
      </c>
      <c r="G9" s="338"/>
      <c r="H9" s="338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59">
        <v>0</v>
      </c>
      <c r="E10" s="159">
        <v>0</v>
      </c>
      <c r="F10" s="162">
        <f t="shared" ref="F10:F25" si="0">$H$8*H10</f>
        <v>77.912744000000004</v>
      </c>
      <c r="G10" s="338"/>
      <c r="H10" s="338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162">
        <f t="shared" si="0"/>
        <v>85.320143999999999</v>
      </c>
      <c r="G11" s="338"/>
      <c r="H11" s="338">
        <v>117198</v>
      </c>
    </row>
    <row r="12" spans="1:9" ht="24.75" customHeight="1">
      <c r="A12" s="158" t="s">
        <v>160</v>
      </c>
      <c r="B12" s="160">
        <v>63</v>
      </c>
      <c r="C12" s="160">
        <v>51</v>
      </c>
      <c r="D12" s="159">
        <v>377.1</v>
      </c>
      <c r="E12" s="180">
        <f>D12*G8/C12</f>
        <v>73.941176470588232</v>
      </c>
      <c r="F12" s="162">
        <f t="shared" si="0"/>
        <v>84.809088000000003</v>
      </c>
      <c r="G12" s="338"/>
      <c r="H12" s="338">
        <v>116496</v>
      </c>
    </row>
    <row r="13" spans="1:9" ht="24.75" customHeight="1">
      <c r="A13" s="158" t="s">
        <v>161</v>
      </c>
      <c r="B13" s="160">
        <v>135</v>
      </c>
      <c r="C13" s="160">
        <v>134</v>
      </c>
      <c r="D13" s="159">
        <v>469</v>
      </c>
      <c r="E13" s="180">
        <f>D13*G8/C13</f>
        <v>35</v>
      </c>
      <c r="F13" s="162">
        <f t="shared" si="0"/>
        <v>52.421824000000001</v>
      </c>
      <c r="G13" s="338"/>
      <c r="H13" s="338">
        <v>72008</v>
      </c>
    </row>
    <row r="14" spans="1:9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162">
        <f t="shared" si="0"/>
        <v>57.923320000000004</v>
      </c>
      <c r="G14" s="338"/>
      <c r="H14" s="338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162">
        <f t="shared" si="0"/>
        <v>118.661816</v>
      </c>
      <c r="G15" s="338"/>
      <c r="H15" s="338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162">
        <f t="shared" si="0"/>
        <v>106.89515200000001</v>
      </c>
      <c r="G16" s="338"/>
      <c r="H16" s="338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162">
        <f t="shared" si="0"/>
        <v>96.474559999999997</v>
      </c>
      <c r="G17" s="338"/>
      <c r="H17" s="338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162">
        <f t="shared" si="0"/>
        <v>104.41121600000001</v>
      </c>
      <c r="G18" s="338"/>
      <c r="H18" s="338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162">
        <f t="shared" si="0"/>
        <v>79.143792000000005</v>
      </c>
      <c r="G19" s="338"/>
      <c r="H19" s="338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162">
        <f t="shared" si="0"/>
        <v>50.878464000000001</v>
      </c>
      <c r="G20" s="338"/>
      <c r="H20" s="338">
        <v>69888</v>
      </c>
    </row>
    <row r="21" spans="1:8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162">
        <f t="shared" si="0"/>
        <v>135.80039200000002</v>
      </c>
      <c r="G21" s="338"/>
      <c r="H21" s="338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162">
        <f t="shared" si="0"/>
        <v>121.961112</v>
      </c>
      <c r="G22" s="338"/>
      <c r="H22" s="338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162">
        <f t="shared" si="0"/>
        <v>65.605176</v>
      </c>
      <c r="G23" s="338"/>
      <c r="H23" s="338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162">
        <f t="shared" si="0"/>
        <v>63.990472000000004</v>
      </c>
      <c r="G24" s="338"/>
      <c r="H24" s="338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83">
        <v>0</v>
      </c>
      <c r="E25" s="159">
        <v>0</v>
      </c>
      <c r="F25" s="162">
        <f t="shared" si="0"/>
        <v>137.76890399999999</v>
      </c>
      <c r="G25" s="338"/>
      <c r="H25" s="338">
        <v>189243</v>
      </c>
    </row>
    <row r="26" spans="1:8" ht="24.75" customHeight="1">
      <c r="A26" s="12">
        <v>2025</v>
      </c>
      <c r="B26" s="186">
        <f>SUM(B9:B25)</f>
        <v>198</v>
      </c>
      <c r="C26" s="186">
        <f>SUM(C9:C25)</f>
        <v>185</v>
      </c>
      <c r="D26" s="186">
        <f>SUM(D9:D25)</f>
        <v>846.1</v>
      </c>
      <c r="E26" s="186">
        <f>SUM(E9:E25)</f>
        <v>108.94117647058823</v>
      </c>
      <c r="F26" s="186">
        <f>SUM(F9:F25)</f>
        <v>1487.360056</v>
      </c>
    </row>
    <row r="27" spans="1:8" ht="24.75" customHeight="1">
      <c r="A27" s="12">
        <f t="shared" ref="A27:A30" si="1">A26-1</f>
        <v>2024</v>
      </c>
      <c r="B27" s="167">
        <v>171</v>
      </c>
      <c r="C27" s="167">
        <v>450</v>
      </c>
      <c r="D27" s="167">
        <v>2424.9</v>
      </c>
      <c r="E27" s="187">
        <v>53.886666666666663</v>
      </c>
      <c r="F27" s="188">
        <v>1826.7205840000004</v>
      </c>
    </row>
    <row r="28" spans="1:8" ht="24.75" customHeight="1">
      <c r="A28" s="12">
        <f t="shared" si="1"/>
        <v>2023</v>
      </c>
      <c r="B28" s="169">
        <v>161</v>
      </c>
      <c r="C28" s="169">
        <v>323</v>
      </c>
      <c r="D28" s="169">
        <v>1524.3</v>
      </c>
      <c r="E28" s="170">
        <v>47.191950464396285</v>
      </c>
      <c r="F28" s="171">
        <v>3100.7371160145267</v>
      </c>
    </row>
    <row r="29" spans="1:8" ht="24.75" customHeight="1">
      <c r="A29" s="12">
        <f t="shared" si="1"/>
        <v>2022</v>
      </c>
      <c r="B29" s="169">
        <v>175</v>
      </c>
      <c r="C29" s="169">
        <v>411</v>
      </c>
      <c r="D29" s="169">
        <v>2122.1999999999998</v>
      </c>
      <c r="E29" s="170">
        <v>51.635036496350367</v>
      </c>
      <c r="F29" s="171">
        <v>1791.4123786397961</v>
      </c>
    </row>
    <row r="30" spans="1:8" ht="24.75" customHeight="1">
      <c r="A30" s="12">
        <f t="shared" si="1"/>
        <v>2021</v>
      </c>
      <c r="B30" s="169">
        <v>190</v>
      </c>
      <c r="C30" s="169">
        <v>227</v>
      </c>
      <c r="D30" s="169">
        <v>3809.9</v>
      </c>
      <c r="E30" s="170">
        <v>167.83700440528634</v>
      </c>
      <c r="F30" s="171">
        <v>1775.7965001653995</v>
      </c>
    </row>
    <row r="31" spans="1:8" ht="14.25" customHeight="1">
      <c r="A31" s="172"/>
      <c r="B31" s="169"/>
      <c r="C31" s="169"/>
      <c r="D31" s="169"/>
      <c r="E31" s="170"/>
      <c r="F31" s="171"/>
    </row>
    <row r="32" spans="1:8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1000"/>
  <sheetViews>
    <sheetView topLeftCell="A19" workbookViewId="0">
      <selection activeCell="B26" sqref="B26:F26"/>
    </sheetView>
  </sheetViews>
  <sheetFormatPr defaultColWidth="14.42578125" defaultRowHeight="15" customHeight="1"/>
  <cols>
    <col min="1" max="1" width="27.7109375" customWidth="1"/>
    <col min="2" max="5" width="8.7109375" customWidth="1"/>
    <col min="6" max="6" width="10.5703125" customWidth="1"/>
    <col min="7" max="26" width="8.7109375" customWidth="1"/>
  </cols>
  <sheetData>
    <row r="1" spans="1:9" ht="14.25" customHeight="1">
      <c r="A1" s="429" t="s">
        <v>217</v>
      </c>
      <c r="B1" s="423"/>
      <c r="C1" s="423"/>
      <c r="D1" s="423"/>
      <c r="E1" s="423"/>
      <c r="F1" s="423"/>
    </row>
    <row r="2" spans="1:9" ht="14.25" customHeight="1">
      <c r="A2" s="429" t="s">
        <v>218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  <c r="H7" s="360" t="s">
        <v>252</v>
      </c>
      <c r="I7" s="358" t="s">
        <v>253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61">
        <f>2.08/1000</f>
        <v>2.0800000000000003E-3</v>
      </c>
      <c r="I8" s="378">
        <f>0.04*52</f>
        <v>2.08</v>
      </c>
    </row>
    <row r="9" spans="1:9" ht="24.75" customHeight="1">
      <c r="A9" s="158" t="s">
        <v>157</v>
      </c>
      <c r="B9" s="159">
        <v>2</v>
      </c>
      <c r="C9" s="160">
        <v>6</v>
      </c>
      <c r="D9" s="159">
        <v>3.6</v>
      </c>
      <c r="E9" s="180">
        <f>D9*G8/C9</f>
        <v>6</v>
      </c>
      <c r="F9" s="162">
        <f>$H$8*H9</f>
        <v>135.3768</v>
      </c>
      <c r="G9" s="338"/>
      <c r="H9" s="338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59">
        <v>0</v>
      </c>
      <c r="E10" s="159">
        <v>0</v>
      </c>
      <c r="F10" s="162">
        <f t="shared" ref="F10:F25" si="0">$H$8*H10</f>
        <v>222.60784000000004</v>
      </c>
      <c r="G10" s="338"/>
      <c r="H10" s="338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162">
        <f t="shared" si="0"/>
        <v>243.77184000000003</v>
      </c>
      <c r="G11" s="338"/>
      <c r="H11" s="338">
        <v>117198</v>
      </c>
    </row>
    <row r="12" spans="1:9" ht="24.75" customHeight="1">
      <c r="A12" s="158" t="s">
        <v>160</v>
      </c>
      <c r="B12" s="159">
        <v>0</v>
      </c>
      <c r="C12" s="160">
        <v>0</v>
      </c>
      <c r="D12" s="159">
        <v>0</v>
      </c>
      <c r="E12" s="159">
        <v>0</v>
      </c>
      <c r="F12" s="162">
        <f t="shared" si="0"/>
        <v>242.31168000000002</v>
      </c>
      <c r="G12" s="338"/>
      <c r="H12" s="338">
        <v>116496</v>
      </c>
    </row>
    <row r="13" spans="1:9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162">
        <f t="shared" si="0"/>
        <v>149.77664000000001</v>
      </c>
      <c r="G13" s="338"/>
      <c r="H13" s="338">
        <v>72008</v>
      </c>
    </row>
    <row r="14" spans="1:9" ht="24.75" customHeight="1">
      <c r="A14" s="158" t="s">
        <v>162</v>
      </c>
      <c r="B14" s="159">
        <v>8.5</v>
      </c>
      <c r="C14" s="160">
        <v>12.5</v>
      </c>
      <c r="D14" s="159">
        <v>11.47</v>
      </c>
      <c r="E14" s="180">
        <f>D14*G8/C14</f>
        <v>9.1760000000000002</v>
      </c>
      <c r="F14" s="162">
        <f t="shared" si="0"/>
        <v>165.49520000000001</v>
      </c>
      <c r="G14" s="338"/>
      <c r="H14" s="338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162">
        <f t="shared" si="0"/>
        <v>339.03376000000003</v>
      </c>
      <c r="G15" s="338"/>
      <c r="H15" s="338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162">
        <f t="shared" si="0"/>
        <v>305.41472000000005</v>
      </c>
      <c r="G16" s="338"/>
      <c r="H16" s="338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162">
        <f t="shared" si="0"/>
        <v>275.64160000000004</v>
      </c>
      <c r="G17" s="338"/>
      <c r="H17" s="338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162">
        <f t="shared" si="0"/>
        <v>298.31776000000002</v>
      </c>
      <c r="G18" s="338"/>
      <c r="H18" s="338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162">
        <f t="shared" si="0"/>
        <v>226.12512000000004</v>
      </c>
      <c r="G19" s="338"/>
      <c r="H19" s="338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162">
        <f t="shared" si="0"/>
        <v>145.36704000000003</v>
      </c>
      <c r="G20" s="338"/>
      <c r="H20" s="338">
        <v>69888</v>
      </c>
    </row>
    <row r="21" spans="1:8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162">
        <f t="shared" si="0"/>
        <v>388.00112000000007</v>
      </c>
      <c r="G21" s="338"/>
      <c r="H21" s="338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162">
        <f t="shared" si="0"/>
        <v>348.46032000000002</v>
      </c>
      <c r="G22" s="338"/>
      <c r="H22" s="338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162">
        <f t="shared" si="0"/>
        <v>187.44336000000001</v>
      </c>
      <c r="G23" s="338"/>
      <c r="H23" s="338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162">
        <f t="shared" si="0"/>
        <v>182.82992000000002</v>
      </c>
      <c r="G24" s="338"/>
      <c r="H24" s="338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83">
        <v>0</v>
      </c>
      <c r="E25" s="159">
        <v>0</v>
      </c>
      <c r="F25" s="162">
        <f t="shared" si="0"/>
        <v>393.62544000000003</v>
      </c>
      <c r="G25" s="338"/>
      <c r="H25" s="338">
        <v>189243</v>
      </c>
    </row>
    <row r="26" spans="1:8" ht="24.75" customHeight="1">
      <c r="A26" s="12">
        <v>2025</v>
      </c>
      <c r="B26" s="186">
        <f>SUM(B9:B25)</f>
        <v>10.5</v>
      </c>
      <c r="C26" s="186">
        <f>SUM(C9:C25)</f>
        <v>18.5</v>
      </c>
      <c r="D26" s="186">
        <f>SUM(D9:D25)</f>
        <v>15.07</v>
      </c>
      <c r="E26" s="186">
        <f>SUM(E9:E25)</f>
        <v>15.176</v>
      </c>
      <c r="F26" s="186">
        <f>SUM(F9:F25)</f>
        <v>4249.6001600000009</v>
      </c>
    </row>
    <row r="27" spans="1:8" ht="24.75" customHeight="1">
      <c r="A27" s="12">
        <f t="shared" ref="A27:A30" si="1">A26-1</f>
        <v>2024</v>
      </c>
      <c r="B27" s="167">
        <v>46</v>
      </c>
      <c r="C27" s="167">
        <v>102</v>
      </c>
      <c r="D27" s="167">
        <v>233.6</v>
      </c>
      <c r="E27" s="187">
        <v>22.901960784313726</v>
      </c>
      <c r="F27" s="188">
        <v>4298.1660800000009</v>
      </c>
    </row>
    <row r="28" spans="1:8" ht="24.75" customHeight="1">
      <c r="A28" s="12">
        <f t="shared" si="1"/>
        <v>2023</v>
      </c>
      <c r="B28" s="169">
        <v>65</v>
      </c>
      <c r="C28" s="169">
        <v>132</v>
      </c>
      <c r="D28" s="169">
        <v>394.5</v>
      </c>
      <c r="E28" s="170">
        <v>29.886363636363637</v>
      </c>
      <c r="F28" s="171">
        <v>3113.9359349152064</v>
      </c>
    </row>
    <row r="29" spans="1:8" ht="24.75" customHeight="1">
      <c r="A29" s="12">
        <f t="shared" si="1"/>
        <v>2022</v>
      </c>
      <c r="B29" s="169">
        <v>57</v>
      </c>
      <c r="C29" s="169">
        <v>91</v>
      </c>
      <c r="D29" s="169">
        <v>244.55</v>
      </c>
      <c r="E29" s="170">
        <v>26.873626373626372</v>
      </c>
      <c r="F29" s="171">
        <v>3584.8466674134975</v>
      </c>
    </row>
    <row r="30" spans="1:8" ht="24.75" customHeight="1">
      <c r="A30" s="12">
        <f t="shared" si="1"/>
        <v>2021</v>
      </c>
      <c r="B30" s="169">
        <v>92</v>
      </c>
      <c r="C30" s="169">
        <v>92</v>
      </c>
      <c r="D30" s="169">
        <v>744.6</v>
      </c>
      <c r="E30" s="170">
        <v>80.934782608695656</v>
      </c>
      <c r="F30" s="171">
        <v>3553.5972853196995</v>
      </c>
    </row>
    <row r="31" spans="1:8" ht="14.25" customHeight="1">
      <c r="A31" s="172"/>
      <c r="B31" s="169"/>
      <c r="C31" s="169"/>
      <c r="D31" s="169"/>
      <c r="E31" s="170"/>
      <c r="F31" s="171"/>
    </row>
    <row r="32" spans="1:8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1000"/>
  <sheetViews>
    <sheetView topLeftCell="A17" workbookViewId="0">
      <selection activeCell="B26" sqref="B26:F26"/>
    </sheetView>
  </sheetViews>
  <sheetFormatPr defaultColWidth="14.42578125" defaultRowHeight="15" customHeight="1"/>
  <cols>
    <col min="1" max="1" width="21.7109375" customWidth="1"/>
    <col min="2" max="26" width="8.7109375" customWidth="1"/>
  </cols>
  <sheetData>
    <row r="1" spans="1:9" ht="14.25" customHeight="1">
      <c r="A1" s="429" t="s">
        <v>219</v>
      </c>
      <c r="B1" s="423"/>
      <c r="C1" s="423"/>
      <c r="D1" s="423"/>
      <c r="E1" s="423"/>
      <c r="F1" s="423"/>
    </row>
    <row r="2" spans="1:9" ht="14.25" customHeight="1">
      <c r="A2" s="429" t="s">
        <v>220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14">
        <f>1.092/1000</f>
        <v>1.0920000000000001E-3</v>
      </c>
      <c r="I8" s="378">
        <f>0.021*52</f>
        <v>1.0920000000000001</v>
      </c>
    </row>
    <row r="9" spans="1:9" ht="24.75" customHeight="1">
      <c r="A9" s="158" t="s">
        <v>157</v>
      </c>
      <c r="B9" s="159">
        <v>0</v>
      </c>
      <c r="C9" s="160">
        <v>0</v>
      </c>
      <c r="D9" s="159">
        <v>0</v>
      </c>
      <c r="E9" s="159">
        <v>0</v>
      </c>
      <c r="F9" s="162">
        <f>$H$8*H9</f>
        <v>71.072820000000007</v>
      </c>
      <c r="G9" s="338"/>
      <c r="H9" s="338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59">
        <v>0</v>
      </c>
      <c r="E10" s="159">
        <v>0</v>
      </c>
      <c r="F10" s="162">
        <f t="shared" ref="F10:F25" si="0">$H$8*H10</f>
        <v>116.86911600000001</v>
      </c>
      <c r="G10" s="338"/>
      <c r="H10" s="338">
        <v>107023</v>
      </c>
    </row>
    <row r="11" spans="1:9" ht="24.75" customHeight="1">
      <c r="A11" s="158" t="s">
        <v>159</v>
      </c>
      <c r="B11" s="159">
        <v>0</v>
      </c>
      <c r="C11" s="160">
        <v>0</v>
      </c>
      <c r="D11" s="159">
        <v>0</v>
      </c>
      <c r="E11" s="159">
        <v>0</v>
      </c>
      <c r="F11" s="162">
        <f t="shared" si="0"/>
        <v>127.98021600000001</v>
      </c>
      <c r="G11" s="338"/>
      <c r="H11" s="338">
        <v>117198</v>
      </c>
    </row>
    <row r="12" spans="1:9" ht="24.75" customHeight="1">
      <c r="A12" s="158" t="s">
        <v>160</v>
      </c>
      <c r="B12" s="159">
        <v>73</v>
      </c>
      <c r="C12" s="160">
        <v>15</v>
      </c>
      <c r="D12" s="159">
        <v>183</v>
      </c>
      <c r="E12" s="180">
        <f>D12*G8/C12</f>
        <v>122</v>
      </c>
      <c r="F12" s="162">
        <f t="shared" si="0"/>
        <v>127.213632</v>
      </c>
      <c r="G12" s="338"/>
      <c r="H12" s="338">
        <v>116496</v>
      </c>
    </row>
    <row r="13" spans="1:9" ht="24.75" customHeight="1">
      <c r="A13" s="158" t="s">
        <v>161</v>
      </c>
      <c r="B13" s="159">
        <v>168</v>
      </c>
      <c r="C13" s="160">
        <v>48</v>
      </c>
      <c r="D13" s="159">
        <v>336</v>
      </c>
      <c r="E13" s="180">
        <f>D13*G8/C13</f>
        <v>70</v>
      </c>
      <c r="F13" s="162">
        <f t="shared" si="0"/>
        <v>78.632736000000008</v>
      </c>
      <c r="G13" s="338"/>
      <c r="H13" s="338">
        <v>72008</v>
      </c>
    </row>
    <row r="14" spans="1:9" ht="24.75" customHeight="1">
      <c r="A14" s="158" t="s">
        <v>162</v>
      </c>
      <c r="B14" s="159">
        <v>0</v>
      </c>
      <c r="C14" s="160">
        <v>0</v>
      </c>
      <c r="D14" s="159">
        <v>0</v>
      </c>
      <c r="E14" s="159">
        <v>0</v>
      </c>
      <c r="F14" s="162">
        <f t="shared" si="0"/>
        <v>86.884980000000013</v>
      </c>
      <c r="G14" s="338"/>
      <c r="H14" s="338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162">
        <f t="shared" si="0"/>
        <v>177.99272400000001</v>
      </c>
      <c r="G15" s="338"/>
      <c r="H15" s="338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162">
        <f t="shared" si="0"/>
        <v>160.34272800000002</v>
      </c>
      <c r="G16" s="338"/>
      <c r="H16" s="338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162">
        <f t="shared" si="0"/>
        <v>144.71184000000002</v>
      </c>
      <c r="G17" s="338"/>
      <c r="H17" s="338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162">
        <f t="shared" si="0"/>
        <v>156.61682400000001</v>
      </c>
      <c r="G18" s="338"/>
      <c r="H18" s="338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162">
        <f t="shared" si="0"/>
        <v>118.71568800000001</v>
      </c>
      <c r="G19" s="338"/>
      <c r="H19" s="338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162">
        <f t="shared" si="0"/>
        <v>76.317696000000012</v>
      </c>
      <c r="G20" s="338"/>
      <c r="H20" s="338">
        <v>69888</v>
      </c>
    </row>
    <row r="21" spans="1:8" ht="24.75" customHeight="1">
      <c r="A21" s="158" t="s">
        <v>169</v>
      </c>
      <c r="B21" s="159">
        <v>0</v>
      </c>
      <c r="C21" s="160">
        <v>0</v>
      </c>
      <c r="D21" s="159">
        <v>0</v>
      </c>
      <c r="E21" s="159">
        <v>0</v>
      </c>
      <c r="F21" s="162">
        <f t="shared" si="0"/>
        <v>203.70058800000001</v>
      </c>
      <c r="G21" s="338"/>
      <c r="H21" s="338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162">
        <f t="shared" si="0"/>
        <v>182.94166800000002</v>
      </c>
      <c r="G22" s="338"/>
      <c r="H22" s="338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162">
        <f t="shared" si="0"/>
        <v>98.407764000000014</v>
      </c>
      <c r="G23" s="338"/>
      <c r="H23" s="338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162">
        <f t="shared" si="0"/>
        <v>95.985708000000002</v>
      </c>
      <c r="G24" s="338"/>
      <c r="H24" s="338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83">
        <v>0</v>
      </c>
      <c r="E25" s="159">
        <v>0</v>
      </c>
      <c r="F25" s="162">
        <f t="shared" si="0"/>
        <v>206.65335600000003</v>
      </c>
      <c r="G25" s="338"/>
      <c r="H25" s="338">
        <v>189243</v>
      </c>
    </row>
    <row r="26" spans="1:8" ht="24.75" customHeight="1">
      <c r="A26" s="12">
        <v>2025</v>
      </c>
      <c r="B26" s="186">
        <f>SUM(B9:B25)</f>
        <v>241</v>
      </c>
      <c r="C26" s="186">
        <f>SUM(C9:C25)</f>
        <v>63</v>
      </c>
      <c r="D26" s="186">
        <f>SUM(D9:D25)</f>
        <v>519</v>
      </c>
      <c r="E26" s="186">
        <f>SUM(E9:E25)</f>
        <v>192</v>
      </c>
      <c r="F26" s="186">
        <f>SUM(F9:F25)</f>
        <v>2231.0400840000002</v>
      </c>
    </row>
    <row r="27" spans="1:8" ht="24.75" customHeight="1">
      <c r="A27" s="12">
        <f t="shared" ref="A27:A30" si="1">A26-1</f>
        <v>2024</v>
      </c>
      <c r="B27" s="167">
        <v>69</v>
      </c>
      <c r="C27" s="167">
        <v>213</v>
      </c>
      <c r="D27" s="167">
        <v>2207</v>
      </c>
      <c r="E27" s="187">
        <v>103.6150234741784</v>
      </c>
      <c r="F27" s="188">
        <v>2578.8996479999996</v>
      </c>
    </row>
    <row r="28" spans="1:8" ht="24.75" customHeight="1">
      <c r="A28" s="12">
        <f t="shared" si="1"/>
        <v>2023</v>
      </c>
      <c r="B28" s="169">
        <v>72</v>
      </c>
      <c r="C28" s="169">
        <v>269</v>
      </c>
      <c r="D28" s="169">
        <v>2794</v>
      </c>
      <c r="E28" s="170">
        <v>103.86617100371747</v>
      </c>
      <c r="F28" s="171">
        <v>3185.8224969377052</v>
      </c>
    </row>
    <row r="29" spans="1:8" ht="24.75" customHeight="1">
      <c r="A29" s="12">
        <f t="shared" si="1"/>
        <v>2022</v>
      </c>
      <c r="B29" s="169">
        <v>83</v>
      </c>
      <c r="C29" s="169">
        <v>389</v>
      </c>
      <c r="D29" s="169">
        <v>4627.5</v>
      </c>
      <c r="E29" s="170">
        <v>118.95886889460154</v>
      </c>
      <c r="F29" s="171">
        <v>3417.0281262993863</v>
      </c>
    </row>
    <row r="30" spans="1:8" ht="24.75" customHeight="1">
      <c r="A30" s="12">
        <f t="shared" si="1"/>
        <v>2021</v>
      </c>
      <c r="B30" s="169">
        <v>81</v>
      </c>
      <c r="C30" s="169">
        <v>142</v>
      </c>
      <c r="D30" s="169">
        <v>8707</v>
      </c>
      <c r="E30" s="170">
        <v>613.16901408450701</v>
      </c>
      <c r="F30" s="171">
        <v>3387.2416312410001</v>
      </c>
    </row>
    <row r="31" spans="1:8" ht="14.25" customHeight="1">
      <c r="A31" s="172"/>
      <c r="B31" s="169"/>
      <c r="C31" s="169"/>
      <c r="D31" s="169"/>
      <c r="E31" s="170"/>
      <c r="F31" s="171"/>
    </row>
    <row r="32" spans="1:8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1000"/>
  <sheetViews>
    <sheetView topLeftCell="A16" workbookViewId="0">
      <selection activeCell="B26" sqref="B26:F26"/>
    </sheetView>
  </sheetViews>
  <sheetFormatPr defaultColWidth="14.42578125" defaultRowHeight="15" customHeight="1"/>
  <cols>
    <col min="1" max="1" width="30.5703125" customWidth="1"/>
    <col min="2" max="26" width="8.7109375" customWidth="1"/>
  </cols>
  <sheetData>
    <row r="1" spans="1:9" ht="14.25" customHeight="1">
      <c r="A1" s="429" t="s">
        <v>221</v>
      </c>
      <c r="B1" s="423"/>
      <c r="C1" s="423"/>
      <c r="D1" s="423"/>
      <c r="E1" s="423"/>
      <c r="F1" s="423"/>
    </row>
    <row r="2" spans="1:9" ht="14.25" customHeight="1">
      <c r="A2" s="429" t="s">
        <v>222</v>
      </c>
      <c r="B2" s="423"/>
      <c r="C2" s="423"/>
      <c r="D2" s="423"/>
      <c r="E2" s="423"/>
      <c r="F2" s="423"/>
    </row>
    <row r="3" spans="1:9" ht="14.25" customHeight="1">
      <c r="A3" s="429" t="s">
        <v>102</v>
      </c>
      <c r="B3" s="423"/>
      <c r="C3" s="423"/>
      <c r="D3" s="423"/>
      <c r="E3" s="423"/>
      <c r="F3" s="423"/>
    </row>
    <row r="4" spans="1:9" ht="14.25" customHeight="1">
      <c r="A4" s="137"/>
      <c r="B4" s="141"/>
      <c r="C4" s="122"/>
      <c r="D4" s="122"/>
      <c r="E4" s="123"/>
      <c r="F4" s="122"/>
    </row>
    <row r="5" spans="1: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  <c r="H7" s="356" t="s">
        <v>252</v>
      </c>
      <c r="I7" s="360" t="s">
        <v>253</v>
      </c>
    </row>
    <row r="8" spans="1: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57">
        <f>3.588/1000</f>
        <v>3.588E-3</v>
      </c>
      <c r="I8" s="378">
        <f>0.069*52</f>
        <v>3.5880000000000001</v>
      </c>
    </row>
    <row r="9" spans="1:9" ht="24.75" customHeight="1">
      <c r="A9" s="158" t="s">
        <v>157</v>
      </c>
      <c r="B9" s="159">
        <v>3</v>
      </c>
      <c r="C9" s="160">
        <v>5</v>
      </c>
      <c r="D9" s="159">
        <v>2.4</v>
      </c>
      <c r="E9" s="180">
        <f>D9*G8/C9</f>
        <v>4.8</v>
      </c>
      <c r="F9" s="162">
        <f>$H$8*H9</f>
        <v>233.52498</v>
      </c>
      <c r="G9" s="338"/>
      <c r="H9" s="338">
        <v>65085</v>
      </c>
    </row>
    <row r="10" spans="1:9" ht="24.75" customHeight="1">
      <c r="A10" s="158" t="s">
        <v>158</v>
      </c>
      <c r="B10" s="159">
        <v>0</v>
      </c>
      <c r="C10" s="160">
        <v>0</v>
      </c>
      <c r="D10" s="159">
        <v>0</v>
      </c>
      <c r="E10" s="159">
        <v>0</v>
      </c>
      <c r="F10" s="162">
        <f t="shared" ref="F10:F25" si="0">$H$8*H10</f>
        <v>383.99852400000003</v>
      </c>
      <c r="G10" s="338"/>
      <c r="H10" s="338">
        <v>107023</v>
      </c>
    </row>
    <row r="11" spans="1:9" ht="24.75" customHeight="1">
      <c r="A11" s="158" t="s">
        <v>159</v>
      </c>
      <c r="B11" s="159">
        <v>7.1999999999999984</v>
      </c>
      <c r="C11" s="160">
        <v>7.1999999999999984</v>
      </c>
      <c r="D11" s="159">
        <v>2.4</v>
      </c>
      <c r="E11" s="180">
        <f>D11*G8/C11</f>
        <v>3.3333333333333339</v>
      </c>
      <c r="F11" s="162">
        <f t="shared" si="0"/>
        <v>420.50642399999998</v>
      </c>
      <c r="G11" s="338"/>
      <c r="H11" s="338">
        <v>117198</v>
      </c>
    </row>
    <row r="12" spans="1:9" ht="24.75" customHeight="1">
      <c r="A12" s="158" t="s">
        <v>160</v>
      </c>
      <c r="B12" s="159">
        <v>0</v>
      </c>
      <c r="C12" s="160">
        <v>0</v>
      </c>
      <c r="D12" s="159">
        <v>0</v>
      </c>
      <c r="E12" s="159">
        <v>0</v>
      </c>
      <c r="F12" s="162">
        <f t="shared" si="0"/>
        <v>417.98764799999998</v>
      </c>
      <c r="G12" s="338"/>
      <c r="H12" s="338">
        <v>116496</v>
      </c>
    </row>
    <row r="13" spans="1:9" ht="24.75" customHeight="1">
      <c r="A13" s="158" t="s">
        <v>161</v>
      </c>
      <c r="B13" s="159">
        <v>0</v>
      </c>
      <c r="C13" s="160">
        <v>0</v>
      </c>
      <c r="D13" s="159">
        <v>0</v>
      </c>
      <c r="E13" s="159">
        <v>0</v>
      </c>
      <c r="F13" s="162">
        <f t="shared" si="0"/>
        <v>258.36470400000002</v>
      </c>
      <c r="G13" s="338"/>
      <c r="H13" s="338">
        <v>72008</v>
      </c>
    </row>
    <row r="14" spans="1:9" ht="24.75" customHeight="1">
      <c r="A14" s="158" t="s">
        <v>162</v>
      </c>
      <c r="B14" s="159">
        <v>6.2</v>
      </c>
      <c r="C14" s="160">
        <v>7.5</v>
      </c>
      <c r="D14" s="159">
        <v>79.2</v>
      </c>
      <c r="E14" s="180">
        <f>D14*G8/C14</f>
        <v>105.6</v>
      </c>
      <c r="F14" s="162">
        <f t="shared" si="0"/>
        <v>285.47922</v>
      </c>
      <c r="G14" s="338"/>
      <c r="H14" s="338">
        <v>79565</v>
      </c>
    </row>
    <row r="15" spans="1:9" ht="24.75" customHeight="1">
      <c r="A15" s="158" t="s">
        <v>163</v>
      </c>
      <c r="B15" s="159">
        <v>0</v>
      </c>
      <c r="C15" s="160">
        <v>0</v>
      </c>
      <c r="D15" s="159">
        <v>0</v>
      </c>
      <c r="E15" s="159">
        <v>0</v>
      </c>
      <c r="F15" s="162">
        <f t="shared" si="0"/>
        <v>584.83323600000006</v>
      </c>
      <c r="G15" s="338"/>
      <c r="H15" s="338">
        <v>162997</v>
      </c>
    </row>
    <row r="16" spans="1:9" ht="24.75" customHeight="1">
      <c r="A16" s="158" t="s">
        <v>164</v>
      </c>
      <c r="B16" s="159">
        <v>0</v>
      </c>
      <c r="C16" s="160">
        <v>0</v>
      </c>
      <c r="D16" s="159">
        <v>0</v>
      </c>
      <c r="E16" s="159">
        <v>0</v>
      </c>
      <c r="F16" s="162">
        <f t="shared" si="0"/>
        <v>526.84039199999995</v>
      </c>
      <c r="G16" s="338"/>
      <c r="H16" s="338">
        <v>146834</v>
      </c>
    </row>
    <row r="17" spans="1:8" ht="24.75" customHeight="1">
      <c r="A17" s="158" t="s">
        <v>165</v>
      </c>
      <c r="B17" s="159">
        <v>0</v>
      </c>
      <c r="C17" s="160">
        <v>0</v>
      </c>
      <c r="D17" s="159">
        <v>0</v>
      </c>
      <c r="E17" s="159">
        <v>0</v>
      </c>
      <c r="F17" s="162">
        <f t="shared" si="0"/>
        <v>475.48176000000001</v>
      </c>
      <c r="G17" s="338"/>
      <c r="H17" s="338">
        <v>132520</v>
      </c>
    </row>
    <row r="18" spans="1:8" ht="24.75" customHeight="1">
      <c r="A18" s="158" t="s">
        <v>166</v>
      </c>
      <c r="B18" s="159">
        <v>0</v>
      </c>
      <c r="C18" s="160">
        <v>0</v>
      </c>
      <c r="D18" s="159">
        <v>0</v>
      </c>
      <c r="E18" s="159">
        <v>0</v>
      </c>
      <c r="F18" s="162">
        <f t="shared" si="0"/>
        <v>514.59813599999995</v>
      </c>
      <c r="G18" s="338"/>
      <c r="H18" s="338">
        <v>143422</v>
      </c>
    </row>
    <row r="19" spans="1:8" ht="24.75" customHeight="1">
      <c r="A19" s="158" t="s">
        <v>167</v>
      </c>
      <c r="B19" s="159">
        <v>0</v>
      </c>
      <c r="C19" s="160">
        <v>0</v>
      </c>
      <c r="D19" s="159">
        <v>0</v>
      </c>
      <c r="E19" s="159">
        <v>0</v>
      </c>
      <c r="F19" s="162">
        <f t="shared" si="0"/>
        <v>390.065832</v>
      </c>
      <c r="G19" s="338"/>
      <c r="H19" s="338">
        <v>108714</v>
      </c>
    </row>
    <row r="20" spans="1:8" ht="24.75" customHeight="1">
      <c r="A20" s="158" t="s">
        <v>168</v>
      </c>
      <c r="B20" s="159">
        <v>0</v>
      </c>
      <c r="C20" s="160">
        <v>0</v>
      </c>
      <c r="D20" s="159">
        <v>0</v>
      </c>
      <c r="E20" s="159">
        <v>0</v>
      </c>
      <c r="F20" s="162">
        <f t="shared" si="0"/>
        <v>250.75814400000002</v>
      </c>
      <c r="G20" s="338"/>
      <c r="H20" s="338">
        <v>69888</v>
      </c>
    </row>
    <row r="21" spans="1:8" ht="24.75" customHeight="1">
      <c r="A21" s="158" t="s">
        <v>169</v>
      </c>
      <c r="B21" s="159">
        <v>103</v>
      </c>
      <c r="C21" s="160">
        <v>96</v>
      </c>
      <c r="D21" s="159">
        <v>103.91</v>
      </c>
      <c r="E21" s="180">
        <f>D21*G8/C21</f>
        <v>10.823958333333332</v>
      </c>
      <c r="F21" s="162">
        <f t="shared" si="0"/>
        <v>669.30193199999997</v>
      </c>
      <c r="G21" s="338"/>
      <c r="H21" s="338">
        <v>186539</v>
      </c>
    </row>
    <row r="22" spans="1:8" ht="24.75" customHeight="1">
      <c r="A22" s="158" t="s">
        <v>170</v>
      </c>
      <c r="B22" s="159">
        <v>0</v>
      </c>
      <c r="C22" s="160">
        <v>0</v>
      </c>
      <c r="D22" s="159">
        <v>0</v>
      </c>
      <c r="E22" s="159">
        <v>0</v>
      </c>
      <c r="F22" s="162">
        <f t="shared" si="0"/>
        <v>601.09405200000003</v>
      </c>
      <c r="G22" s="338"/>
      <c r="H22" s="338">
        <v>167529</v>
      </c>
    </row>
    <row r="23" spans="1:8" ht="24.75" customHeight="1">
      <c r="A23" s="158" t="s">
        <v>171</v>
      </c>
      <c r="B23" s="159">
        <v>0</v>
      </c>
      <c r="C23" s="160">
        <v>0</v>
      </c>
      <c r="D23" s="159">
        <v>0</v>
      </c>
      <c r="E23" s="159">
        <v>0</v>
      </c>
      <c r="F23" s="162">
        <f t="shared" si="0"/>
        <v>323.33979599999998</v>
      </c>
      <c r="G23" s="338"/>
      <c r="H23" s="338">
        <v>90117</v>
      </c>
    </row>
    <row r="24" spans="1:8" ht="24.75" customHeight="1">
      <c r="A24" s="158" t="s">
        <v>172</v>
      </c>
      <c r="B24" s="159">
        <v>0</v>
      </c>
      <c r="C24" s="160">
        <v>0</v>
      </c>
      <c r="D24" s="159">
        <v>0</v>
      </c>
      <c r="E24" s="159">
        <v>0</v>
      </c>
      <c r="F24" s="162">
        <f t="shared" si="0"/>
        <v>315.38161200000002</v>
      </c>
      <c r="G24" s="338"/>
      <c r="H24" s="338">
        <v>87899</v>
      </c>
    </row>
    <row r="25" spans="1:8" ht="24.75" customHeight="1">
      <c r="A25" s="182" t="s">
        <v>173</v>
      </c>
      <c r="B25" s="183">
        <v>0</v>
      </c>
      <c r="C25" s="184">
        <v>0</v>
      </c>
      <c r="D25" s="183">
        <v>0</v>
      </c>
      <c r="E25" s="159">
        <v>0</v>
      </c>
      <c r="F25" s="162">
        <f t="shared" si="0"/>
        <v>679.00388399999997</v>
      </c>
      <c r="G25" s="338"/>
      <c r="H25" s="338">
        <v>189243</v>
      </c>
    </row>
    <row r="26" spans="1:8" ht="24.75" customHeight="1">
      <c r="A26" s="12">
        <v>2025</v>
      </c>
      <c r="B26" s="186">
        <f>SUM(B9:B25)</f>
        <v>119.4</v>
      </c>
      <c r="C26" s="186">
        <f>SUM(C9:C25)</f>
        <v>115.7</v>
      </c>
      <c r="D26" s="186">
        <f>SUM(D9:D25)</f>
        <v>187.91</v>
      </c>
      <c r="E26" s="186">
        <f>SUM(E9:E25)</f>
        <v>124.55729166666666</v>
      </c>
      <c r="F26" s="186">
        <f>SUM(F9:F25)</f>
        <v>7330.5602760000011</v>
      </c>
    </row>
    <row r="27" spans="1:8" ht="24.75" customHeight="1">
      <c r="A27" s="12">
        <f t="shared" ref="A27:A30" si="1">A26-1</f>
        <v>2024</v>
      </c>
      <c r="B27" s="167">
        <v>112.2</v>
      </c>
      <c r="C27" s="167">
        <v>308.2</v>
      </c>
      <c r="D27" s="167">
        <v>888.47499999999991</v>
      </c>
      <c r="E27" s="187">
        <v>28.827871512005192</v>
      </c>
      <c r="F27" s="188">
        <v>7521.7906400000011</v>
      </c>
    </row>
    <row r="28" spans="1:8" ht="24.75" customHeight="1">
      <c r="A28" s="12">
        <f t="shared" si="1"/>
        <v>2023</v>
      </c>
      <c r="B28" s="169">
        <v>137.19999999999999</v>
      </c>
      <c r="C28" s="169">
        <v>336</v>
      </c>
      <c r="D28" s="169">
        <v>674.6</v>
      </c>
      <c r="E28" s="170">
        <v>20.077380952380953</v>
      </c>
      <c r="F28" s="171">
        <v>6475.7762391497954</v>
      </c>
    </row>
    <row r="29" spans="1:8" ht="24.75" customHeight="1">
      <c r="A29" s="12">
        <f t="shared" si="1"/>
        <v>2022</v>
      </c>
      <c r="B29" s="169">
        <v>98.2</v>
      </c>
      <c r="C29" s="169">
        <v>377</v>
      </c>
      <c r="D29" s="169">
        <v>615.20000000000005</v>
      </c>
      <c r="E29" s="170">
        <v>16.318302387267906</v>
      </c>
      <c r="F29" s="171">
        <v>8750.8270595406775</v>
      </c>
    </row>
    <row r="30" spans="1:8" ht="24.75" customHeight="1">
      <c r="A30" s="12">
        <f t="shared" si="1"/>
        <v>2021</v>
      </c>
      <c r="B30" s="169">
        <v>70.7</v>
      </c>
      <c r="C30" s="169">
        <v>92</v>
      </c>
      <c r="D30" s="169">
        <v>334.1</v>
      </c>
      <c r="E30" s="170">
        <v>36.315217391304351</v>
      </c>
      <c r="F30" s="171">
        <v>8674.5454319592009</v>
      </c>
    </row>
    <row r="31" spans="1:8" ht="14.25" customHeight="1">
      <c r="A31" s="172"/>
      <c r="B31" s="169"/>
      <c r="C31" s="169"/>
      <c r="D31" s="169"/>
      <c r="E31" s="170"/>
      <c r="F31" s="171"/>
    </row>
    <row r="32" spans="1:8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1000"/>
  <sheetViews>
    <sheetView topLeftCell="A19" workbookViewId="0">
      <selection activeCell="B26" sqref="B26:F26"/>
    </sheetView>
  </sheetViews>
  <sheetFormatPr defaultColWidth="14.42578125" defaultRowHeight="15" customHeight="1"/>
  <cols>
    <col min="1" max="1" width="26.5703125" customWidth="1"/>
    <col min="2" max="4" width="8.7109375" customWidth="1"/>
    <col min="5" max="5" width="13.140625" bestFit="1" customWidth="1"/>
    <col min="6" max="10" width="8.7109375" customWidth="1"/>
    <col min="11" max="11" width="10.5703125" customWidth="1"/>
    <col min="12" max="12" width="10.85546875" customWidth="1"/>
    <col min="13" max="13" width="12.5703125" bestFit="1" customWidth="1"/>
    <col min="14" max="26" width="8.7109375" customWidth="1"/>
  </cols>
  <sheetData>
    <row r="1" spans="1:16" ht="14.25" customHeight="1">
      <c r="A1" s="429" t="s">
        <v>223</v>
      </c>
      <c r="B1" s="423"/>
      <c r="C1" s="423"/>
      <c r="D1" s="423"/>
      <c r="E1" s="423"/>
      <c r="F1" s="423"/>
    </row>
    <row r="2" spans="1:16" ht="14.25" customHeight="1">
      <c r="A2" s="429" t="s">
        <v>224</v>
      </c>
      <c r="B2" s="423"/>
      <c r="C2" s="423"/>
      <c r="D2" s="423"/>
      <c r="E2" s="423"/>
      <c r="F2" s="423"/>
    </row>
    <row r="3" spans="1:16" ht="14.25" customHeight="1">
      <c r="A3" s="429" t="s">
        <v>102</v>
      </c>
      <c r="B3" s="423"/>
      <c r="C3" s="423"/>
      <c r="D3" s="423"/>
      <c r="E3" s="423"/>
      <c r="F3" s="423"/>
    </row>
    <row r="4" spans="1:16" ht="14.25" customHeight="1">
      <c r="A4" s="137"/>
      <c r="B4" s="141"/>
      <c r="C4" s="122"/>
      <c r="D4" s="122"/>
      <c r="E4" s="123"/>
      <c r="F4" s="122"/>
    </row>
    <row r="5" spans="1:16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6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6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6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14">
        <f>0.78/1000</f>
        <v>7.7999999999999999E-4</v>
      </c>
      <c r="I8" s="378">
        <f>0.015*52</f>
        <v>0.78</v>
      </c>
      <c r="J8" t="s">
        <v>259</v>
      </c>
      <c r="K8" s="394" t="s">
        <v>260</v>
      </c>
      <c r="L8" s="394" t="s">
        <v>263</v>
      </c>
      <c r="M8" s="397" t="s">
        <v>264</v>
      </c>
      <c r="N8" s="394" t="s">
        <v>265</v>
      </c>
      <c r="O8" s="394" t="s">
        <v>266</v>
      </c>
      <c r="P8" s="394" t="s">
        <v>267</v>
      </c>
    </row>
    <row r="9" spans="1:16" ht="24.75" customHeight="1">
      <c r="A9" s="158" t="s">
        <v>157</v>
      </c>
      <c r="B9" s="159">
        <f>4860/100</f>
        <v>48.6</v>
      </c>
      <c r="C9" s="160">
        <f>3800/100</f>
        <v>38</v>
      </c>
      <c r="D9" s="159">
        <f>1935/10</f>
        <v>193.5</v>
      </c>
      <c r="E9" s="375">
        <f>(D9*10)/C9</f>
        <v>50.921052631578945</v>
      </c>
      <c r="F9" s="162">
        <f>$H$8*H9</f>
        <v>50.766300000000001</v>
      </c>
      <c r="G9" s="338"/>
      <c r="H9" s="338">
        <v>65085</v>
      </c>
      <c r="J9" s="388">
        <v>1935</v>
      </c>
      <c r="K9" s="160">
        <v>3800</v>
      </c>
      <c r="L9">
        <v>4860</v>
      </c>
      <c r="M9" s="398">
        <v>4860</v>
      </c>
      <c r="N9" s="289">
        <v>4860</v>
      </c>
      <c r="O9">
        <v>4860</v>
      </c>
      <c r="P9">
        <v>4860</v>
      </c>
    </row>
    <row r="10" spans="1:16" ht="24.75" customHeight="1">
      <c r="A10" s="158" t="s">
        <v>158</v>
      </c>
      <c r="B10" s="159">
        <f>14528/100</f>
        <v>145.28</v>
      </c>
      <c r="C10" s="160">
        <f>3668/100</f>
        <v>36.68</v>
      </c>
      <c r="D10" s="159">
        <f>1440/10</f>
        <v>144</v>
      </c>
      <c r="E10" s="375">
        <f>(D10*10)/C10</f>
        <v>39.258451472191929</v>
      </c>
      <c r="F10" s="162">
        <f t="shared" ref="F10:F25" si="0">$H$8*H10</f>
        <v>83.477940000000004</v>
      </c>
      <c r="G10" s="338"/>
      <c r="H10" s="338">
        <v>107023</v>
      </c>
      <c r="J10" s="388">
        <v>1440</v>
      </c>
      <c r="K10" s="160">
        <v>3668</v>
      </c>
      <c r="L10">
        <v>14528</v>
      </c>
      <c r="M10" s="399">
        <v>14528</v>
      </c>
      <c r="N10">
        <v>14518</v>
      </c>
      <c r="O10">
        <v>14506</v>
      </c>
      <c r="P10">
        <v>14506</v>
      </c>
    </row>
    <row r="11" spans="1:16" ht="24.75" customHeight="1">
      <c r="A11" s="158" t="s">
        <v>159</v>
      </c>
      <c r="B11" s="159">
        <f>4993/100</f>
        <v>49.93</v>
      </c>
      <c r="C11" s="383">
        <f>2.406/100</f>
        <v>2.4060000000000002E-2</v>
      </c>
      <c r="D11" s="159">
        <f>3295.6/10</f>
        <v>329.56</v>
      </c>
      <c r="E11" s="387">
        <f>(D11*10)/C11</f>
        <v>136974.2310889443</v>
      </c>
      <c r="F11" s="162">
        <f t="shared" si="0"/>
        <v>91.414439999999999</v>
      </c>
      <c r="G11" s="338"/>
      <c r="H11" s="338">
        <v>117198</v>
      </c>
      <c r="J11" s="389">
        <v>3295.6</v>
      </c>
      <c r="K11" s="383">
        <v>2.4060000000000001</v>
      </c>
      <c r="L11">
        <v>4993</v>
      </c>
      <c r="M11" s="399">
        <v>4993</v>
      </c>
      <c r="N11">
        <v>4975</v>
      </c>
      <c r="O11">
        <v>4958</v>
      </c>
      <c r="P11">
        <v>4900</v>
      </c>
    </row>
    <row r="12" spans="1:16" ht="24.75" customHeight="1">
      <c r="A12" s="158" t="s">
        <v>160</v>
      </c>
      <c r="B12" s="159">
        <f>11387/100</f>
        <v>113.87</v>
      </c>
      <c r="C12" s="383">
        <f>4.35/100</f>
        <v>4.3499999999999997E-2</v>
      </c>
      <c r="D12" s="159">
        <f>3805.96/10</f>
        <v>380.596</v>
      </c>
      <c r="E12" s="387">
        <f t="shared" ref="E12:E22" si="1">(D12*10)/C12</f>
        <v>87493.333333333343</v>
      </c>
      <c r="F12" s="162">
        <f t="shared" si="0"/>
        <v>90.866879999999995</v>
      </c>
      <c r="G12" s="338"/>
      <c r="H12" s="338">
        <v>116496</v>
      </c>
      <c r="J12" s="389">
        <v>3805.96</v>
      </c>
      <c r="K12" s="383">
        <v>4.3499999999999996</v>
      </c>
      <c r="L12">
        <v>11387</v>
      </c>
      <c r="M12" s="400">
        <v>11387</v>
      </c>
      <c r="N12">
        <v>11372</v>
      </c>
      <c r="O12">
        <v>11349</v>
      </c>
      <c r="P12">
        <v>11337</v>
      </c>
    </row>
    <row r="13" spans="1:16" ht="24.75" customHeight="1">
      <c r="A13" s="158" t="s">
        <v>161</v>
      </c>
      <c r="B13" s="159">
        <f>2603/100</f>
        <v>26.03</v>
      </c>
      <c r="C13" s="383">
        <f>1.828/100</f>
        <v>1.8280000000000001E-2</v>
      </c>
      <c r="D13" s="159">
        <f>15391/10</f>
        <v>1539.1</v>
      </c>
      <c r="E13" s="387">
        <f t="shared" si="1"/>
        <v>841958.42450765858</v>
      </c>
      <c r="F13" s="162">
        <f t="shared" si="0"/>
        <v>56.166240000000002</v>
      </c>
      <c r="G13" s="338"/>
      <c r="H13" s="338">
        <v>72008</v>
      </c>
      <c r="J13" s="388">
        <v>15391</v>
      </c>
      <c r="K13" s="383">
        <v>1.8280000000000001</v>
      </c>
      <c r="L13">
        <v>2603</v>
      </c>
      <c r="M13" s="400">
        <v>2603</v>
      </c>
      <c r="N13">
        <v>2603</v>
      </c>
      <c r="O13">
        <v>2603</v>
      </c>
      <c r="P13">
        <v>2588</v>
      </c>
    </row>
    <row r="14" spans="1:16" ht="24.75" customHeight="1">
      <c r="A14" s="158" t="s">
        <v>162</v>
      </c>
      <c r="B14" s="159">
        <f>3528/100</f>
        <v>35.28</v>
      </c>
      <c r="C14" s="160">
        <f>485/100</f>
        <v>4.8499999999999996</v>
      </c>
      <c r="D14" s="159">
        <f>362.25/10</f>
        <v>36.225000000000001</v>
      </c>
      <c r="E14" s="375">
        <f t="shared" si="1"/>
        <v>74.690721649484544</v>
      </c>
      <c r="F14" s="162">
        <f t="shared" si="0"/>
        <v>62.060699999999997</v>
      </c>
      <c r="G14" s="338"/>
      <c r="H14" s="338">
        <v>79565</v>
      </c>
      <c r="J14" s="389">
        <v>362.25</v>
      </c>
      <c r="K14" s="160">
        <v>485</v>
      </c>
      <c r="L14">
        <v>3528</v>
      </c>
      <c r="M14" s="399">
        <v>3528</v>
      </c>
      <c r="N14">
        <v>3505</v>
      </c>
      <c r="O14">
        <v>3505</v>
      </c>
      <c r="P14">
        <v>3492</v>
      </c>
    </row>
    <row r="15" spans="1:16" ht="24.75" customHeight="1">
      <c r="A15" s="158" t="s">
        <v>163</v>
      </c>
      <c r="B15" s="159">
        <f>75/100</f>
        <v>0.75</v>
      </c>
      <c r="C15" s="160">
        <f>75/100</f>
        <v>0.75</v>
      </c>
      <c r="D15" s="159">
        <f>71/10</f>
        <v>7.1</v>
      </c>
      <c r="E15" s="387">
        <f t="shared" si="1"/>
        <v>94.666666666666671</v>
      </c>
      <c r="F15" s="162">
        <f t="shared" si="0"/>
        <v>127.13766</v>
      </c>
      <c r="G15" s="338"/>
      <c r="H15" s="338">
        <v>162997</v>
      </c>
      <c r="J15" s="388">
        <v>71</v>
      </c>
      <c r="K15" s="160">
        <v>75</v>
      </c>
      <c r="L15">
        <v>75</v>
      </c>
      <c r="M15" s="399">
        <v>75</v>
      </c>
      <c r="N15">
        <v>75</v>
      </c>
      <c r="O15">
        <v>75</v>
      </c>
      <c r="P15">
        <v>75</v>
      </c>
    </row>
    <row r="16" spans="1:16" ht="24.75" customHeight="1">
      <c r="A16" s="158" t="s">
        <v>164</v>
      </c>
      <c r="B16" s="159">
        <f>1590/100</f>
        <v>15.9</v>
      </c>
      <c r="C16" s="160">
        <f>1000/100</f>
        <v>10</v>
      </c>
      <c r="D16" s="159">
        <f>470/10</f>
        <v>47</v>
      </c>
      <c r="E16" s="387">
        <f t="shared" si="1"/>
        <v>47</v>
      </c>
      <c r="F16" s="162">
        <f t="shared" si="0"/>
        <v>114.53052</v>
      </c>
      <c r="G16" s="338"/>
      <c r="H16" s="338">
        <v>146834</v>
      </c>
      <c r="J16" s="388">
        <v>470</v>
      </c>
      <c r="K16" s="160">
        <v>1000</v>
      </c>
      <c r="L16">
        <v>1590</v>
      </c>
      <c r="M16" s="399">
        <v>1590</v>
      </c>
      <c r="N16">
        <v>1570</v>
      </c>
      <c r="O16">
        <v>1500</v>
      </c>
      <c r="P16">
        <v>1450</v>
      </c>
    </row>
    <row r="17" spans="1:16" ht="24.75" customHeight="1">
      <c r="A17" s="158" t="s">
        <v>165</v>
      </c>
      <c r="B17" s="159">
        <f>9637/100</f>
        <v>96.37</v>
      </c>
      <c r="C17" s="160">
        <f>748/100</f>
        <v>7.48</v>
      </c>
      <c r="D17" s="159">
        <f>877/10</f>
        <v>87.7</v>
      </c>
      <c r="E17" s="375">
        <f t="shared" si="1"/>
        <v>117.24598930481282</v>
      </c>
      <c r="F17" s="162">
        <f t="shared" si="0"/>
        <v>103.3656</v>
      </c>
      <c r="G17" s="338"/>
      <c r="H17" s="338">
        <v>132520</v>
      </c>
      <c r="J17" s="388">
        <v>877</v>
      </c>
      <c r="K17" s="160">
        <v>748</v>
      </c>
      <c r="L17">
        <v>9637</v>
      </c>
      <c r="M17" s="399">
        <v>9637</v>
      </c>
      <c r="N17">
        <v>9518</v>
      </c>
      <c r="O17">
        <v>9382</v>
      </c>
      <c r="P17">
        <v>9121</v>
      </c>
    </row>
    <row r="18" spans="1:16" ht="24.75" customHeight="1">
      <c r="A18" s="158" t="s">
        <v>166</v>
      </c>
      <c r="B18" s="159">
        <f>1061/100</f>
        <v>10.61</v>
      </c>
      <c r="C18" s="160">
        <f>895/100</f>
        <v>8.9499999999999993</v>
      </c>
      <c r="D18" s="159">
        <f>536.06/10</f>
        <v>53.605999999999995</v>
      </c>
      <c r="E18" s="387">
        <f t="shared" si="1"/>
        <v>59.894972067039106</v>
      </c>
      <c r="F18" s="162">
        <f t="shared" si="0"/>
        <v>111.86915999999999</v>
      </c>
      <c r="G18" s="338"/>
      <c r="H18" s="338">
        <v>143422</v>
      </c>
      <c r="J18" s="389">
        <v>536.05999999999995</v>
      </c>
      <c r="K18" s="160">
        <v>895</v>
      </c>
      <c r="L18">
        <v>1061</v>
      </c>
      <c r="M18" s="399">
        <v>1061</v>
      </c>
      <c r="N18">
        <v>1014</v>
      </c>
      <c r="O18">
        <v>1010</v>
      </c>
      <c r="P18">
        <v>909</v>
      </c>
    </row>
    <row r="19" spans="1:16" ht="24.75" customHeight="1">
      <c r="A19" s="158" t="s">
        <v>167</v>
      </c>
      <c r="B19" s="159">
        <f>110/100</f>
        <v>1.1000000000000001</v>
      </c>
      <c r="C19" s="160">
        <f>20/100</f>
        <v>0.2</v>
      </c>
      <c r="D19" s="159">
        <f>10.4/10</f>
        <v>1.04</v>
      </c>
      <c r="E19" s="387">
        <f t="shared" si="1"/>
        <v>52</v>
      </c>
      <c r="F19" s="162">
        <f t="shared" si="0"/>
        <v>84.79692</v>
      </c>
      <c r="G19" s="338"/>
      <c r="H19" s="338">
        <v>108714</v>
      </c>
      <c r="J19" s="389">
        <v>10.4</v>
      </c>
      <c r="K19" s="160">
        <v>20</v>
      </c>
      <c r="L19">
        <v>110</v>
      </c>
      <c r="M19" s="399">
        <v>110</v>
      </c>
      <c r="N19">
        <v>110</v>
      </c>
      <c r="O19">
        <v>110</v>
      </c>
      <c r="P19">
        <v>110</v>
      </c>
    </row>
    <row r="20" spans="1:16" ht="24.75" customHeight="1">
      <c r="A20" s="158" t="s">
        <v>168</v>
      </c>
      <c r="B20" s="159">
        <f>73/100</f>
        <v>0.73</v>
      </c>
      <c r="C20" s="160">
        <f>55/100</f>
        <v>0.55000000000000004</v>
      </c>
      <c r="D20" s="159">
        <f>40.01/10</f>
        <v>4.0009999999999994</v>
      </c>
      <c r="E20" s="387">
        <f t="shared" si="1"/>
        <v>72.745454545454521</v>
      </c>
      <c r="F20" s="162">
        <f t="shared" si="0"/>
        <v>54.512639999999998</v>
      </c>
      <c r="G20" s="338"/>
      <c r="H20" s="338">
        <v>69888</v>
      </c>
      <c r="J20" s="389">
        <v>40.01</v>
      </c>
      <c r="K20" s="160">
        <v>55</v>
      </c>
      <c r="L20">
        <v>73</v>
      </c>
      <c r="M20" s="399">
        <v>73</v>
      </c>
      <c r="N20">
        <v>58</v>
      </c>
      <c r="O20">
        <v>58</v>
      </c>
      <c r="P20">
        <v>46</v>
      </c>
    </row>
    <row r="21" spans="1:16" ht="24.75" customHeight="1">
      <c r="A21" s="158" t="s">
        <v>169</v>
      </c>
      <c r="B21" s="159">
        <f>98/100</f>
        <v>0.98</v>
      </c>
      <c r="C21" s="160">
        <f>44/100</f>
        <v>0.44</v>
      </c>
      <c r="D21" s="159">
        <f>53.21/10</f>
        <v>5.3209999999999997</v>
      </c>
      <c r="E21" s="387">
        <f t="shared" si="1"/>
        <v>120.93181818181817</v>
      </c>
      <c r="F21" s="162">
        <f t="shared" si="0"/>
        <v>145.50041999999999</v>
      </c>
      <c r="G21" s="338"/>
      <c r="H21" s="338">
        <v>186539</v>
      </c>
      <c r="J21" s="389">
        <v>53.21</v>
      </c>
      <c r="K21" s="160">
        <v>44</v>
      </c>
      <c r="L21">
        <v>98</v>
      </c>
      <c r="M21" s="401">
        <v>98</v>
      </c>
      <c r="N21">
        <v>82</v>
      </c>
      <c r="O21">
        <v>78</v>
      </c>
      <c r="P21">
        <v>72</v>
      </c>
    </row>
    <row r="22" spans="1:16" ht="24.75" customHeight="1">
      <c r="A22" s="158" t="s">
        <v>170</v>
      </c>
      <c r="B22" s="159">
        <f>77/100</f>
        <v>0.77</v>
      </c>
      <c r="C22" s="160">
        <f>59/100</f>
        <v>0.59</v>
      </c>
      <c r="D22" s="159">
        <f>7.88/10</f>
        <v>0.78800000000000003</v>
      </c>
      <c r="E22" s="375">
        <f t="shared" si="1"/>
        <v>13.355932203389832</v>
      </c>
      <c r="F22" s="162">
        <f t="shared" si="0"/>
        <v>130.67261999999999</v>
      </c>
      <c r="G22" s="338"/>
      <c r="H22" s="338">
        <v>167529</v>
      </c>
      <c r="J22" s="389">
        <v>7.88</v>
      </c>
      <c r="K22" s="160">
        <v>59</v>
      </c>
      <c r="L22">
        <v>77</v>
      </c>
      <c r="M22" s="401">
        <v>77</v>
      </c>
      <c r="N22">
        <v>77</v>
      </c>
      <c r="O22">
        <v>77</v>
      </c>
      <c r="P22">
        <v>75</v>
      </c>
    </row>
    <row r="23" spans="1:16" ht="24.75" customHeight="1">
      <c r="A23" s="158" t="s">
        <v>171</v>
      </c>
      <c r="B23" s="160">
        <f>62/100</f>
        <v>0.62</v>
      </c>
      <c r="C23" s="160">
        <v>0</v>
      </c>
      <c r="D23" s="159">
        <f>0.7/10</f>
        <v>6.9999999999999993E-2</v>
      </c>
      <c r="E23" s="160">
        <v>0</v>
      </c>
      <c r="F23" s="162">
        <f t="shared" si="0"/>
        <v>70.291259999999994</v>
      </c>
      <c r="G23" s="338"/>
      <c r="H23" s="338">
        <v>90117</v>
      </c>
      <c r="J23" s="389">
        <v>0.7</v>
      </c>
      <c r="K23" s="160">
        <v>0</v>
      </c>
      <c r="L23">
        <v>62</v>
      </c>
      <c r="M23" s="396">
        <v>62</v>
      </c>
      <c r="N23">
        <v>58</v>
      </c>
      <c r="O23">
        <v>58</v>
      </c>
      <c r="P23">
        <v>57</v>
      </c>
    </row>
    <row r="24" spans="1:16" ht="24.75" customHeight="1">
      <c r="A24" s="158" t="s">
        <v>172</v>
      </c>
      <c r="B24" s="160"/>
      <c r="C24" s="160">
        <v>0</v>
      </c>
      <c r="D24" s="159">
        <v>0</v>
      </c>
      <c r="E24" s="160">
        <v>0</v>
      </c>
      <c r="F24" s="162">
        <f t="shared" si="0"/>
        <v>68.561220000000006</v>
      </c>
      <c r="G24" s="338"/>
      <c r="H24" s="338">
        <v>87899</v>
      </c>
      <c r="J24" s="388">
        <v>0</v>
      </c>
      <c r="K24" s="160">
        <v>0</v>
      </c>
      <c r="M24" s="402"/>
    </row>
    <row r="25" spans="1:16" ht="24.75" customHeight="1">
      <c r="A25" s="182" t="s">
        <v>173</v>
      </c>
      <c r="B25" s="160"/>
      <c r="C25" s="160">
        <v>0</v>
      </c>
      <c r="D25" s="183">
        <v>0</v>
      </c>
      <c r="E25" s="160">
        <v>0</v>
      </c>
      <c r="F25" s="162">
        <f t="shared" si="0"/>
        <v>147.60954000000001</v>
      </c>
      <c r="G25" s="338"/>
      <c r="H25" s="338">
        <v>189243</v>
      </c>
      <c r="J25" s="388">
        <v>0</v>
      </c>
      <c r="K25" s="160">
        <v>0</v>
      </c>
      <c r="M25" s="402"/>
    </row>
    <row r="26" spans="1:16" ht="24.75" customHeight="1">
      <c r="A26" s="12">
        <v>2025</v>
      </c>
      <c r="B26" s="186">
        <f>SUM(B9:B25)</f>
        <v>546.82000000000005</v>
      </c>
      <c r="C26" s="186">
        <f>SUM(C9:C25)</f>
        <v>108.57584000000001</v>
      </c>
      <c r="D26" s="186">
        <f>SUM(D9:D25)</f>
        <v>2829.607</v>
      </c>
      <c r="E26" s="186">
        <f>SUM(E9:E25)</f>
        <v>1067168.6999886585</v>
      </c>
      <c r="F26" s="186">
        <f>SUM(F9:F25)</f>
        <v>1593.60006</v>
      </c>
    </row>
    <row r="27" spans="1:16" ht="24.75" customHeight="1">
      <c r="A27" s="12">
        <f t="shared" ref="A27:A30" si="2">A26-1</f>
        <v>2024</v>
      </c>
      <c r="B27" s="167">
        <v>520.8900000000001</v>
      </c>
      <c r="C27" s="167">
        <v>192.42</v>
      </c>
      <c r="D27" s="167">
        <v>1632.7990000000002</v>
      </c>
      <c r="E27" s="187">
        <v>84.85599210061325</v>
      </c>
      <c r="F27" s="188">
        <v>248.29717912980951</v>
      </c>
    </row>
    <row r="28" spans="1:16" ht="24.75" customHeight="1">
      <c r="A28" s="12">
        <f t="shared" si="2"/>
        <v>2023</v>
      </c>
      <c r="B28" s="169">
        <v>572.79999999999995</v>
      </c>
      <c r="C28" s="169">
        <v>159.25000000000003</v>
      </c>
      <c r="D28" s="169">
        <v>1425.6369999999997</v>
      </c>
      <c r="E28" s="170">
        <v>82.51</v>
      </c>
      <c r="F28" s="171">
        <v>246.27804764477338</v>
      </c>
    </row>
    <row r="29" spans="1:16" ht="24.75" customHeight="1">
      <c r="A29" s="12">
        <f t="shared" si="2"/>
        <v>2022</v>
      </c>
      <c r="B29" s="169">
        <v>579.91</v>
      </c>
      <c r="C29" s="169">
        <v>265.5</v>
      </c>
      <c r="D29" s="169">
        <v>2705.9070000000006</v>
      </c>
      <c r="E29" s="170">
        <v>101.91740112994353</v>
      </c>
      <c r="F29" s="171">
        <v>242.6292160685955</v>
      </c>
    </row>
    <row r="30" spans="1:16" ht="24.75" customHeight="1">
      <c r="A30" s="12">
        <f t="shared" si="2"/>
        <v>2021</v>
      </c>
      <c r="B30" s="169">
        <v>590.92999999999995</v>
      </c>
      <c r="C30" s="169">
        <v>302.37</v>
      </c>
      <c r="D30" s="169">
        <v>2480</v>
      </c>
      <c r="E30" s="170">
        <v>82.018718788239568</v>
      </c>
      <c r="F30" s="171">
        <v>240.51419866800003</v>
      </c>
    </row>
    <row r="31" spans="1:16" ht="14.25" customHeight="1">
      <c r="A31" s="172"/>
      <c r="B31" s="169"/>
      <c r="C31" s="169"/>
      <c r="D31" s="169"/>
      <c r="E31" s="170"/>
      <c r="F31" s="171"/>
    </row>
    <row r="32" spans="1:16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conditionalFormatting sqref="M12:M13">
    <cfRule type="containsText" dxfId="5" priority="3" stopIfTrue="1" operator="containsText" text="NILAI">
      <formula>NOT(ISERROR(SEARCH("NILAI",M12)))</formula>
    </cfRule>
    <cfRule type="containsBlanks" dxfId="4" priority="4" stopIfTrue="1">
      <formula>LEN(TRIM(M12))=0</formula>
    </cfRule>
  </conditionalFormatting>
  <conditionalFormatting sqref="M23">
    <cfRule type="containsText" dxfId="3" priority="1" stopIfTrue="1" operator="containsText" text="NILAI">
      <formula>NOT(ISERROR(SEARCH("NILAI",M23)))</formula>
    </cfRule>
    <cfRule type="containsBlanks" dxfId="2" priority="2" stopIfTrue="1">
      <formula>LEN(TRIM(M23))=0</formula>
    </cfRule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topLeftCell="A3" workbookViewId="0">
      <selection activeCell="C21" sqref="C21"/>
    </sheetView>
  </sheetViews>
  <sheetFormatPr defaultColWidth="14.42578125" defaultRowHeight="15" customHeight="1"/>
  <cols>
    <col min="1" max="1" width="18.28515625" customWidth="1"/>
    <col min="2" max="2" width="11" customWidth="1"/>
    <col min="3" max="3" width="13.42578125" customWidth="1"/>
    <col min="4" max="4" width="17.28515625" customWidth="1"/>
    <col min="5" max="5" width="13.85546875" customWidth="1"/>
    <col min="6" max="6" width="15.42578125" customWidth="1"/>
    <col min="7" max="7" width="20.7109375" customWidth="1"/>
    <col min="8" max="8" width="9.5703125" customWidth="1"/>
    <col min="9" max="9" width="8.7109375" customWidth="1"/>
    <col min="10" max="10" width="13.140625" customWidth="1"/>
    <col min="11" max="11" width="11.85546875" customWidth="1"/>
    <col min="12" max="26" width="8.7109375" customWidth="1"/>
  </cols>
  <sheetData>
    <row r="1" spans="1:11" ht="14.25" customHeight="1">
      <c r="A1" s="412" t="s">
        <v>0</v>
      </c>
      <c r="B1" s="411"/>
      <c r="C1" s="411"/>
      <c r="D1" s="411"/>
      <c r="E1" s="411"/>
      <c r="F1" s="411"/>
      <c r="G1" s="411"/>
      <c r="H1" s="411"/>
    </row>
    <row r="2" spans="1:11" ht="14.25" customHeight="1">
      <c r="A2" s="412" t="s">
        <v>28</v>
      </c>
      <c r="B2" s="411"/>
      <c r="C2" s="411"/>
      <c r="D2" s="411"/>
      <c r="E2" s="411"/>
      <c r="F2" s="411"/>
      <c r="G2" s="411"/>
      <c r="H2" s="411"/>
    </row>
    <row r="3" spans="1:11" ht="14.25" customHeight="1">
      <c r="A3" s="412" t="s">
        <v>52</v>
      </c>
      <c r="B3" s="411"/>
      <c r="C3" s="411"/>
      <c r="D3" s="411"/>
      <c r="E3" s="411"/>
      <c r="F3" s="411"/>
      <c r="G3" s="411"/>
      <c r="H3" s="411"/>
    </row>
    <row r="4" spans="1:11" ht="14.25" customHeight="1">
      <c r="A4" s="412" t="s">
        <v>30</v>
      </c>
      <c r="B4" s="411"/>
      <c r="C4" s="411"/>
      <c r="D4" s="411"/>
      <c r="E4" s="411"/>
      <c r="F4" s="411"/>
      <c r="G4" s="411"/>
      <c r="H4" s="411"/>
    </row>
    <row r="5" spans="1:11" ht="14.25" customHeight="1">
      <c r="A5" s="45"/>
      <c r="B5" s="45"/>
      <c r="C5" s="45"/>
      <c r="D5" s="45"/>
      <c r="E5" s="45"/>
      <c r="F5" s="45"/>
      <c r="G5" s="45"/>
      <c r="H5" s="46"/>
    </row>
    <row r="6" spans="1:11" ht="27" customHeight="1">
      <c r="A6" s="415" t="s">
        <v>31</v>
      </c>
      <c r="B6" s="415" t="s">
        <v>32</v>
      </c>
      <c r="C6" s="415" t="s">
        <v>4</v>
      </c>
      <c r="D6" s="415" t="s">
        <v>5</v>
      </c>
      <c r="E6" s="415" t="s">
        <v>6</v>
      </c>
      <c r="F6" s="415" t="s">
        <v>33</v>
      </c>
      <c r="G6" s="415" t="s">
        <v>34</v>
      </c>
      <c r="H6" s="18"/>
    </row>
    <row r="7" spans="1:11" ht="14.25" customHeight="1">
      <c r="A7" s="409"/>
      <c r="B7" s="409"/>
      <c r="C7" s="409"/>
      <c r="D7" s="409"/>
      <c r="E7" s="409"/>
      <c r="F7" s="409"/>
      <c r="G7" s="409"/>
      <c r="H7">
        <f>0.104/1000</f>
        <v>1.0399999999999999E-4</v>
      </c>
      <c r="I7" s="355" t="s">
        <v>255</v>
      </c>
      <c r="K7" s="378"/>
    </row>
    <row r="8" spans="1:11" ht="14.25" customHeight="1">
      <c r="A8" s="19" t="s">
        <v>8</v>
      </c>
      <c r="B8" s="191" t="s">
        <v>9</v>
      </c>
      <c r="C8" s="191" t="s">
        <v>10</v>
      </c>
      <c r="D8" s="19" t="s">
        <v>11</v>
      </c>
      <c r="E8" s="19" t="s">
        <v>12</v>
      </c>
      <c r="F8" s="19" t="s">
        <v>35</v>
      </c>
      <c r="G8" s="19" t="s">
        <v>36</v>
      </c>
      <c r="H8" s="314">
        <v>2087331</v>
      </c>
      <c r="I8" s="363" t="s">
        <v>254</v>
      </c>
      <c r="J8" s="48"/>
      <c r="K8" s="47"/>
    </row>
    <row r="9" spans="1:11" ht="14.25" customHeight="1">
      <c r="A9" s="190" t="s">
        <v>37</v>
      </c>
      <c r="B9" s="273">
        <v>0</v>
      </c>
      <c r="C9" s="263">
        <v>0</v>
      </c>
      <c r="D9" s="272"/>
      <c r="E9" s="364">
        <f>$H$7*$H$8/12</f>
        <v>18.090201999999998</v>
      </c>
      <c r="F9" s="268">
        <f>D9-E9</f>
        <v>-18.090201999999998</v>
      </c>
      <c r="G9" s="250">
        <f>F9</f>
        <v>-18.090201999999998</v>
      </c>
      <c r="H9" s="314"/>
      <c r="I9" s="338"/>
    </row>
    <row r="10" spans="1:11" ht="14.25" customHeight="1">
      <c r="A10" s="190" t="s">
        <v>38</v>
      </c>
      <c r="B10" s="273">
        <v>5</v>
      </c>
      <c r="C10" s="194">
        <v>64</v>
      </c>
      <c r="D10" s="269">
        <f>0.9466*C10</f>
        <v>60.5824</v>
      </c>
      <c r="E10" s="364">
        <f t="shared" ref="E10:E20" si="0">$H$7*$H$8/12</f>
        <v>18.090201999999998</v>
      </c>
      <c r="F10" s="268">
        <f t="shared" ref="F10:F17" si="1">D10-E10</f>
        <v>42.492198000000002</v>
      </c>
      <c r="G10" s="250">
        <f>G9+F10</f>
        <v>24.401996000000004</v>
      </c>
      <c r="H10" s="338"/>
      <c r="I10" s="338"/>
    </row>
    <row r="11" spans="1:11" ht="14.25" customHeight="1">
      <c r="A11" s="190" t="s">
        <v>39</v>
      </c>
      <c r="B11" s="273">
        <v>15</v>
      </c>
      <c r="C11" s="193">
        <v>192</v>
      </c>
      <c r="D11" s="269">
        <f t="shared" ref="D11:D17" si="2">0.9466*C11</f>
        <v>181.74719999999999</v>
      </c>
      <c r="E11" s="364">
        <f t="shared" si="0"/>
        <v>18.090201999999998</v>
      </c>
      <c r="F11" s="268">
        <f t="shared" si="1"/>
        <v>163.65699799999999</v>
      </c>
      <c r="G11" s="250">
        <f t="shared" ref="G11:G20" si="3">G10+F11</f>
        <v>188.05899399999998</v>
      </c>
      <c r="H11" s="338"/>
      <c r="I11" s="338"/>
    </row>
    <row r="12" spans="1:11" ht="14.25" customHeight="1">
      <c r="A12" s="190" t="s">
        <v>40</v>
      </c>
      <c r="B12" s="273">
        <v>4</v>
      </c>
      <c r="C12" s="194">
        <v>36</v>
      </c>
      <c r="D12" s="269">
        <f t="shared" si="2"/>
        <v>34.077599999999997</v>
      </c>
      <c r="E12" s="364">
        <f t="shared" si="0"/>
        <v>18.090201999999998</v>
      </c>
      <c r="F12" s="268">
        <f t="shared" si="1"/>
        <v>15.987397999999999</v>
      </c>
      <c r="G12" s="250">
        <f t="shared" si="3"/>
        <v>204.04639199999997</v>
      </c>
      <c r="H12" s="338"/>
      <c r="I12" s="338"/>
    </row>
    <row r="13" spans="1:11" ht="14.25" customHeight="1">
      <c r="A13" s="190" t="s">
        <v>41</v>
      </c>
      <c r="B13" s="273">
        <v>11</v>
      </c>
      <c r="C13" s="194">
        <v>138</v>
      </c>
      <c r="D13" s="269">
        <f t="shared" si="2"/>
        <v>130.63079999999999</v>
      </c>
      <c r="E13" s="364">
        <f t="shared" si="0"/>
        <v>18.090201999999998</v>
      </c>
      <c r="F13" s="268">
        <f t="shared" si="1"/>
        <v>112.54059799999999</v>
      </c>
      <c r="G13" s="250">
        <f t="shared" si="3"/>
        <v>316.58698999999996</v>
      </c>
      <c r="H13" s="338"/>
      <c r="I13" s="338"/>
    </row>
    <row r="14" spans="1:11" ht="14.25" customHeight="1">
      <c r="A14" s="190" t="s">
        <v>42</v>
      </c>
      <c r="B14" s="273">
        <v>1</v>
      </c>
      <c r="C14" s="193">
        <v>3</v>
      </c>
      <c r="D14" s="269">
        <f t="shared" si="2"/>
        <v>2.8397999999999999</v>
      </c>
      <c r="E14" s="364">
        <f t="shared" si="0"/>
        <v>18.090201999999998</v>
      </c>
      <c r="F14" s="268">
        <f t="shared" si="1"/>
        <v>-15.250401999999998</v>
      </c>
      <c r="G14" s="250">
        <f t="shared" si="3"/>
        <v>301.33658799999995</v>
      </c>
      <c r="H14" s="338"/>
      <c r="I14" s="338"/>
    </row>
    <row r="15" spans="1:11" ht="14.25" customHeight="1">
      <c r="A15" s="190" t="s">
        <v>43</v>
      </c>
      <c r="B15" s="273">
        <v>3</v>
      </c>
      <c r="C15" s="194">
        <v>3.84</v>
      </c>
      <c r="D15" s="269">
        <f t="shared" si="2"/>
        <v>3.634944</v>
      </c>
      <c r="E15" s="364">
        <f t="shared" si="0"/>
        <v>18.090201999999998</v>
      </c>
      <c r="F15" s="268">
        <f t="shared" si="1"/>
        <v>-14.455257999999997</v>
      </c>
      <c r="G15" s="250">
        <f t="shared" si="3"/>
        <v>286.88132999999993</v>
      </c>
      <c r="H15" s="338"/>
      <c r="I15" s="338"/>
    </row>
    <row r="16" spans="1:11" ht="14.25" customHeight="1">
      <c r="A16" s="190" t="s">
        <v>44</v>
      </c>
      <c r="B16" s="273">
        <v>5</v>
      </c>
      <c r="C16" s="194">
        <v>5.12</v>
      </c>
      <c r="D16" s="269">
        <f t="shared" si="2"/>
        <v>4.8465920000000002</v>
      </c>
      <c r="E16" s="364">
        <f t="shared" si="0"/>
        <v>18.090201999999998</v>
      </c>
      <c r="F16" s="268">
        <f t="shared" si="1"/>
        <v>-13.243609999999997</v>
      </c>
      <c r="G16" s="250">
        <f t="shared" si="3"/>
        <v>273.63771999999994</v>
      </c>
      <c r="H16" s="338"/>
      <c r="I16" s="338"/>
      <c r="K16" s="23"/>
    </row>
    <row r="17" spans="1:11" ht="14.25" customHeight="1">
      <c r="A17" s="190" t="s">
        <v>45</v>
      </c>
      <c r="B17" s="273">
        <v>4</v>
      </c>
      <c r="C17" s="193">
        <v>13.84</v>
      </c>
      <c r="D17" s="269">
        <f t="shared" si="2"/>
        <v>13.100944</v>
      </c>
      <c r="E17" s="364">
        <f t="shared" si="0"/>
        <v>18.090201999999998</v>
      </c>
      <c r="F17" s="268">
        <f t="shared" si="1"/>
        <v>-4.9892579999999978</v>
      </c>
      <c r="G17" s="250">
        <f t="shared" si="3"/>
        <v>268.64846199999994</v>
      </c>
      <c r="H17" s="338"/>
      <c r="I17" s="338"/>
      <c r="K17" s="23"/>
    </row>
    <row r="18" spans="1:11" ht="14.25" customHeight="1">
      <c r="A18" s="190" t="s">
        <v>46</v>
      </c>
      <c r="B18" s="273">
        <v>0</v>
      </c>
      <c r="C18" s="273">
        <v>0</v>
      </c>
      <c r="D18" s="273">
        <v>0</v>
      </c>
      <c r="E18" s="364">
        <f t="shared" si="0"/>
        <v>18.090201999999998</v>
      </c>
      <c r="F18" s="273">
        <v>0</v>
      </c>
      <c r="G18" s="250">
        <f t="shared" si="3"/>
        <v>268.64846199999994</v>
      </c>
      <c r="H18" s="338"/>
      <c r="I18" s="338"/>
      <c r="K18" s="23"/>
    </row>
    <row r="19" spans="1:11" ht="14.25" customHeight="1">
      <c r="A19" s="190" t="s">
        <v>47</v>
      </c>
      <c r="B19" s="273">
        <v>0</v>
      </c>
      <c r="C19" s="273">
        <v>0</v>
      </c>
      <c r="D19" s="273">
        <v>0</v>
      </c>
      <c r="E19" s="364">
        <f t="shared" si="0"/>
        <v>18.090201999999998</v>
      </c>
      <c r="F19" s="273">
        <v>0</v>
      </c>
      <c r="G19" s="250">
        <f t="shared" si="3"/>
        <v>268.64846199999994</v>
      </c>
      <c r="H19" s="338"/>
      <c r="I19" s="338"/>
      <c r="K19" s="23"/>
    </row>
    <row r="20" spans="1:11" ht="14.25" customHeight="1">
      <c r="A20" s="190" t="s">
        <v>48</v>
      </c>
      <c r="B20" s="273">
        <v>0</v>
      </c>
      <c r="C20" s="273">
        <v>0</v>
      </c>
      <c r="D20" s="273">
        <v>0</v>
      </c>
      <c r="E20" s="364">
        <f t="shared" si="0"/>
        <v>18.090201999999998</v>
      </c>
      <c r="F20" s="273">
        <v>0</v>
      </c>
      <c r="G20" s="250">
        <f t="shared" si="3"/>
        <v>268.64846199999994</v>
      </c>
      <c r="H20" s="338"/>
      <c r="I20" s="338"/>
      <c r="K20" s="23"/>
    </row>
    <row r="21" spans="1:11" ht="14.25" customHeight="1">
      <c r="A21" s="12">
        <v>2025</v>
      </c>
      <c r="B21" s="270">
        <f>SUM(B9:B20)</f>
        <v>48</v>
      </c>
      <c r="C21" s="270">
        <f t="shared" ref="C21:G21" si="4">SUM(C9:C20)</f>
        <v>455.79999999999995</v>
      </c>
      <c r="D21" s="270">
        <f t="shared" si="4"/>
        <v>431.46028000000007</v>
      </c>
      <c r="E21" s="270">
        <f t="shared" si="4"/>
        <v>217.08242400000003</v>
      </c>
      <c r="F21" s="270">
        <f t="shared" si="4"/>
        <v>268.64846199999994</v>
      </c>
      <c r="G21" s="270">
        <f t="shared" si="4"/>
        <v>2651.4536559999997</v>
      </c>
      <c r="H21" s="338"/>
      <c r="I21" s="338"/>
      <c r="K21" s="23"/>
    </row>
    <row r="22" spans="1:11" ht="14.25" customHeight="1">
      <c r="A22" s="12">
        <f t="shared" ref="A22:A25" si="5">A21-1</f>
        <v>2024</v>
      </c>
      <c r="B22" s="43">
        <v>48</v>
      </c>
      <c r="C22" s="39">
        <v>159.80000000000001</v>
      </c>
      <c r="D22" s="39">
        <v>151.26667999999998</v>
      </c>
      <c r="E22" s="39">
        <v>536.4111267840002</v>
      </c>
      <c r="F22" s="39">
        <v>-385.14444678400008</v>
      </c>
      <c r="G22" s="42">
        <v>-385.14444678400008</v>
      </c>
      <c r="H22" s="338"/>
      <c r="I22" s="338"/>
    </row>
    <row r="23" spans="1:11" ht="14.25" customHeight="1">
      <c r="A23" s="12">
        <f t="shared" si="5"/>
        <v>2023</v>
      </c>
      <c r="B23" s="39">
        <v>42.420000000000009</v>
      </c>
      <c r="C23" s="37">
        <v>73.941699999999997</v>
      </c>
      <c r="D23" s="39">
        <v>69.993213220000001</v>
      </c>
      <c r="E23" s="50">
        <v>277.67999999999995</v>
      </c>
      <c r="F23" s="50">
        <v>-207.68678677999995</v>
      </c>
      <c r="G23" s="51">
        <v>-207.68678677999995</v>
      </c>
      <c r="H23" s="338"/>
      <c r="I23" s="338"/>
    </row>
    <row r="24" spans="1:11" ht="14.25" customHeight="1">
      <c r="A24" s="12">
        <f t="shared" si="5"/>
        <v>2022</v>
      </c>
      <c r="B24" s="40">
        <v>247.20000000000002</v>
      </c>
      <c r="C24" s="40">
        <v>98.304000000000002</v>
      </c>
      <c r="D24" s="40">
        <v>93.054566399999999</v>
      </c>
      <c r="E24" s="40">
        <v>121.15530000000003</v>
      </c>
      <c r="F24" s="40">
        <v>-28.100733599999991</v>
      </c>
      <c r="G24" s="40">
        <v>-28.100733599999991</v>
      </c>
      <c r="H24" s="338"/>
      <c r="I24" s="338"/>
    </row>
    <row r="25" spans="1:11" ht="14.25" customHeight="1">
      <c r="A25" s="12">
        <f t="shared" si="5"/>
        <v>2021</v>
      </c>
      <c r="B25" s="40">
        <v>213.09999999999997</v>
      </c>
      <c r="C25" s="37">
        <v>814.2299999999999</v>
      </c>
      <c r="D25" s="40">
        <v>745.20824700000003</v>
      </c>
      <c r="E25" s="49">
        <v>120.25709933399996</v>
      </c>
      <c r="F25" s="40">
        <v>624.95114766600011</v>
      </c>
      <c r="G25" s="40">
        <v>624.95114766600011</v>
      </c>
      <c r="H25" s="338"/>
      <c r="I25" s="338"/>
    </row>
    <row r="26" spans="1:11" ht="14.25" customHeight="1">
      <c r="A26" s="33"/>
      <c r="B26" s="40"/>
      <c r="C26" s="40"/>
      <c r="D26" s="40"/>
      <c r="E26" s="49"/>
      <c r="F26" s="40"/>
      <c r="G26" s="40"/>
      <c r="H26" s="338"/>
      <c r="I26" s="338"/>
    </row>
    <row r="27" spans="1:11" ht="14.25" customHeight="1"/>
    <row r="28" spans="1:11" ht="14.25" customHeight="1">
      <c r="A28" s="410"/>
      <c r="B28" s="411"/>
      <c r="C28" s="411"/>
      <c r="D28" s="411"/>
      <c r="E28" s="411"/>
      <c r="F28" s="411"/>
      <c r="G28" s="411"/>
      <c r="H28" s="411"/>
    </row>
    <row r="29" spans="1:11" ht="14.25" customHeight="1">
      <c r="A29" s="410" t="s">
        <v>27</v>
      </c>
      <c r="B29" s="411"/>
      <c r="C29" s="411"/>
      <c r="D29" s="411"/>
    </row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A29:D29"/>
    <mergeCell ref="A1:H1"/>
    <mergeCell ref="A2:H2"/>
    <mergeCell ref="A3:H3"/>
    <mergeCell ref="A4:H4"/>
    <mergeCell ref="A6:A7"/>
    <mergeCell ref="B6:B7"/>
    <mergeCell ref="C6:C7"/>
    <mergeCell ref="D6:D7"/>
    <mergeCell ref="E6:E7"/>
    <mergeCell ref="F6:F7"/>
    <mergeCell ref="G6:G7"/>
    <mergeCell ref="A28:H28"/>
  </mergeCells>
  <pageMargins left="0.7" right="0.7" top="0.75" bottom="0.75" header="0" footer="0"/>
  <pageSetup paperSize="9" scale="66"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R1000"/>
  <sheetViews>
    <sheetView topLeftCell="A16" zoomScale="112" zoomScaleNormal="112" workbookViewId="0">
      <selection activeCell="B26" sqref="B26:F26"/>
    </sheetView>
  </sheetViews>
  <sheetFormatPr defaultColWidth="14.42578125" defaultRowHeight="15" customHeight="1"/>
  <cols>
    <col min="1" max="1" width="26.42578125" customWidth="1"/>
    <col min="2" max="12" width="8.7109375" customWidth="1"/>
    <col min="13" max="13" width="10" customWidth="1"/>
    <col min="14" max="14" width="10.5703125" bestFit="1" customWidth="1"/>
    <col min="15" max="26" width="8.7109375" customWidth="1"/>
  </cols>
  <sheetData>
    <row r="1" spans="1:18" ht="14.25" customHeight="1">
      <c r="A1" s="429" t="s">
        <v>225</v>
      </c>
      <c r="B1" s="423"/>
      <c r="C1" s="423"/>
      <c r="D1" s="423"/>
      <c r="E1" s="423"/>
      <c r="F1" s="423"/>
    </row>
    <row r="2" spans="1:18" ht="14.25" customHeight="1">
      <c r="A2" s="429" t="s">
        <v>226</v>
      </c>
      <c r="B2" s="423"/>
      <c r="C2" s="423"/>
      <c r="D2" s="423"/>
      <c r="E2" s="423"/>
      <c r="F2" s="423"/>
    </row>
    <row r="3" spans="1:18" ht="14.25" customHeight="1">
      <c r="A3" s="429" t="s">
        <v>102</v>
      </c>
      <c r="B3" s="423"/>
      <c r="C3" s="423"/>
      <c r="D3" s="423"/>
      <c r="E3" s="423"/>
      <c r="F3" s="423"/>
    </row>
    <row r="4" spans="1:18" ht="14.25" customHeight="1">
      <c r="A4" s="137"/>
      <c r="B4" s="141"/>
      <c r="C4" s="122"/>
      <c r="D4" s="122"/>
      <c r="E4" s="123"/>
      <c r="F4" s="122"/>
    </row>
    <row r="5" spans="1:18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8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8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8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14">
        <f>0.78/1000</f>
        <v>7.7999999999999999E-4</v>
      </c>
      <c r="I8" s="378">
        <f>0.015*52</f>
        <v>0.78</v>
      </c>
      <c r="J8" s="378">
        <v>1.4999999999999999E-2</v>
      </c>
      <c r="K8" t="s">
        <v>258</v>
      </c>
      <c r="M8" t="s">
        <v>260</v>
      </c>
      <c r="N8" s="394" t="s">
        <v>263</v>
      </c>
      <c r="O8" s="397" t="s">
        <v>264</v>
      </c>
      <c r="P8" s="403" t="s">
        <v>265</v>
      </c>
      <c r="Q8" s="403" t="s">
        <v>266</v>
      </c>
      <c r="R8" s="403" t="s">
        <v>267</v>
      </c>
    </row>
    <row r="9" spans="1:18" ht="24.75" customHeight="1">
      <c r="A9" s="158" t="s">
        <v>157</v>
      </c>
      <c r="B9" s="159">
        <f>4270/200</f>
        <v>21.35</v>
      </c>
      <c r="C9" s="160">
        <f>3520/200</f>
        <v>17.600000000000001</v>
      </c>
      <c r="D9" s="159">
        <f>1264/10</f>
        <v>126.4</v>
      </c>
      <c r="E9" s="375">
        <f>(D9*10)/C9</f>
        <v>71.818181818181813</v>
      </c>
      <c r="F9" s="162">
        <f>$H$8*H9</f>
        <v>50.766300000000001</v>
      </c>
      <c r="G9" s="338"/>
      <c r="H9" s="338">
        <v>65085</v>
      </c>
      <c r="K9">
        <v>1264</v>
      </c>
      <c r="M9" s="388">
        <v>3520</v>
      </c>
      <c r="N9" s="388">
        <v>4270</v>
      </c>
      <c r="O9" s="402">
        <v>4270</v>
      </c>
      <c r="P9" s="404">
        <v>4270</v>
      </c>
      <c r="Q9" s="404">
        <v>4270</v>
      </c>
      <c r="R9" s="404">
        <v>4270</v>
      </c>
    </row>
    <row r="10" spans="1:18" ht="24.75" customHeight="1">
      <c r="A10" s="158" t="s">
        <v>158</v>
      </c>
      <c r="B10" s="159">
        <f>275/200</f>
        <v>1.375</v>
      </c>
      <c r="C10" s="160">
        <f>87/200</f>
        <v>0.435</v>
      </c>
      <c r="D10" s="159">
        <f>13/10</f>
        <v>1.3</v>
      </c>
      <c r="E10" s="375">
        <f t="shared" ref="E10:E24" si="0">(D10*10)/C10</f>
        <v>29.885057471264368</v>
      </c>
      <c r="F10" s="162">
        <f t="shared" ref="F10:F24" si="1">$H$8*H10</f>
        <v>83.477940000000004</v>
      </c>
      <c r="G10" s="338"/>
      <c r="H10" s="338">
        <v>107023</v>
      </c>
      <c r="K10">
        <v>13</v>
      </c>
      <c r="M10" s="391">
        <v>87</v>
      </c>
      <c r="N10" s="391">
        <v>275</v>
      </c>
      <c r="O10" s="402">
        <v>275</v>
      </c>
      <c r="P10" s="404">
        <v>275</v>
      </c>
      <c r="Q10" s="404">
        <v>275</v>
      </c>
      <c r="R10" s="404">
        <v>275</v>
      </c>
    </row>
    <row r="11" spans="1:18" ht="24.75" customHeight="1">
      <c r="A11" s="158" t="s">
        <v>159</v>
      </c>
      <c r="B11" s="159">
        <f>12480/200</f>
        <v>62.4</v>
      </c>
      <c r="C11" s="160">
        <f>6354/200</f>
        <v>31.77</v>
      </c>
      <c r="D11" s="159">
        <f>3248.46/10</f>
        <v>324.846</v>
      </c>
      <c r="E11" s="375">
        <f t="shared" si="0"/>
        <v>102.24929178470255</v>
      </c>
      <c r="F11" s="162">
        <f t="shared" si="1"/>
        <v>91.414439999999999</v>
      </c>
      <c r="G11" s="338"/>
      <c r="H11" s="338">
        <v>117198</v>
      </c>
      <c r="K11" s="289">
        <v>3248.46</v>
      </c>
      <c r="M11" s="391">
        <v>6354</v>
      </c>
      <c r="N11" s="391">
        <v>12480</v>
      </c>
      <c r="O11" s="402">
        <v>12480</v>
      </c>
      <c r="P11" s="404">
        <v>11937</v>
      </c>
      <c r="Q11" s="404">
        <v>11814</v>
      </c>
      <c r="R11" s="404">
        <v>11716</v>
      </c>
    </row>
    <row r="12" spans="1:18" ht="24.75" customHeight="1">
      <c r="A12" s="158" t="s">
        <v>160</v>
      </c>
      <c r="B12" s="159">
        <f>14068/200</f>
        <v>70.34</v>
      </c>
      <c r="C12" s="160">
        <f>6685/200</f>
        <v>33.424999999999997</v>
      </c>
      <c r="D12" s="159">
        <f>4158.47/10</f>
        <v>415.84700000000004</v>
      </c>
      <c r="E12" s="375">
        <f t="shared" si="0"/>
        <v>124.41196709050114</v>
      </c>
      <c r="F12" s="162">
        <f t="shared" si="1"/>
        <v>90.866879999999995</v>
      </c>
      <c r="G12" s="338"/>
      <c r="H12" s="338">
        <v>116496</v>
      </c>
      <c r="K12" s="289">
        <v>4158.4699999999993</v>
      </c>
      <c r="M12" s="391">
        <v>6685</v>
      </c>
      <c r="N12" s="391">
        <v>14068</v>
      </c>
      <c r="O12" s="402">
        <v>14068</v>
      </c>
      <c r="P12" s="404">
        <v>14048</v>
      </c>
      <c r="Q12" s="404">
        <v>14016</v>
      </c>
      <c r="R12" s="404">
        <v>13985</v>
      </c>
    </row>
    <row r="13" spans="1:18" ht="24.75" customHeight="1">
      <c r="A13" s="158" t="s">
        <v>161</v>
      </c>
      <c r="B13" s="159">
        <f>2118/200</f>
        <v>10.59</v>
      </c>
      <c r="C13" s="160">
        <f>540/200</f>
        <v>2.7</v>
      </c>
      <c r="D13" s="159">
        <f>1280/10</f>
        <v>128</v>
      </c>
      <c r="E13" s="375">
        <f t="shared" si="0"/>
        <v>474.07407407407402</v>
      </c>
      <c r="F13" s="162">
        <f t="shared" si="1"/>
        <v>56.166240000000002</v>
      </c>
      <c r="G13" s="338"/>
      <c r="H13" s="338">
        <v>72008</v>
      </c>
      <c r="K13">
        <v>1280</v>
      </c>
      <c r="M13" s="391">
        <v>540</v>
      </c>
      <c r="N13" s="391">
        <v>2118</v>
      </c>
      <c r="O13" s="402">
        <v>2118</v>
      </c>
      <c r="P13" s="404">
        <v>2118</v>
      </c>
      <c r="Q13" s="404">
        <v>2103</v>
      </c>
      <c r="R13" s="404">
        <v>2080</v>
      </c>
    </row>
    <row r="14" spans="1:18" ht="24.75" customHeight="1">
      <c r="A14" s="158" t="s">
        <v>162</v>
      </c>
      <c r="B14" s="159">
        <f>32142/200</f>
        <v>160.71</v>
      </c>
      <c r="C14" s="160">
        <f>4285/200</f>
        <v>21.425000000000001</v>
      </c>
      <c r="D14" s="159">
        <f>1943.3/10</f>
        <v>194.32999999999998</v>
      </c>
      <c r="E14" s="375">
        <f t="shared" si="0"/>
        <v>90.70245040840139</v>
      </c>
      <c r="F14" s="162">
        <f t="shared" si="1"/>
        <v>62.060699999999997</v>
      </c>
      <c r="G14" s="338"/>
      <c r="H14" s="338">
        <v>79565</v>
      </c>
      <c r="K14" s="289">
        <v>1943.2999999999997</v>
      </c>
      <c r="M14" s="391">
        <v>4285</v>
      </c>
      <c r="N14" s="391">
        <v>32142</v>
      </c>
      <c r="O14" s="402">
        <v>32142</v>
      </c>
      <c r="P14" s="404">
        <v>31857</v>
      </c>
      <c r="Q14" s="404">
        <v>31824</v>
      </c>
      <c r="R14" s="404">
        <v>31634</v>
      </c>
    </row>
    <row r="15" spans="1:18" ht="24.75" customHeight="1">
      <c r="A15" s="158" t="s">
        <v>163</v>
      </c>
      <c r="B15" s="159">
        <f>57/200</f>
        <v>0.28499999999999998</v>
      </c>
      <c r="C15" s="160">
        <f>57/200</f>
        <v>0.28499999999999998</v>
      </c>
      <c r="D15" s="159">
        <f>35.6/10</f>
        <v>3.56</v>
      </c>
      <c r="E15" s="375">
        <f t="shared" si="0"/>
        <v>124.9122807017544</v>
      </c>
      <c r="F15" s="162">
        <f t="shared" si="1"/>
        <v>127.13766</v>
      </c>
      <c r="G15" s="338"/>
      <c r="H15" s="338">
        <v>162997</v>
      </c>
      <c r="K15" s="289">
        <v>35.6</v>
      </c>
      <c r="M15" s="391">
        <v>57</v>
      </c>
      <c r="N15" s="391">
        <v>57</v>
      </c>
      <c r="O15" s="402">
        <v>57</v>
      </c>
      <c r="P15" s="404">
        <v>57</v>
      </c>
      <c r="Q15" s="404">
        <v>57</v>
      </c>
      <c r="R15" s="404">
        <v>57</v>
      </c>
    </row>
    <row r="16" spans="1:18" ht="24.75" customHeight="1">
      <c r="A16" s="158" t="s">
        <v>164</v>
      </c>
      <c r="B16" s="159">
        <f>390/200</f>
        <v>1.95</v>
      </c>
      <c r="C16" s="160">
        <f>360/200</f>
        <v>1.8</v>
      </c>
      <c r="D16" s="159">
        <f>120/10</f>
        <v>12</v>
      </c>
      <c r="E16" s="375">
        <f t="shared" si="0"/>
        <v>66.666666666666671</v>
      </c>
      <c r="F16" s="162">
        <f t="shared" si="1"/>
        <v>114.53052</v>
      </c>
      <c r="G16" s="338"/>
      <c r="H16" s="338">
        <v>146834</v>
      </c>
      <c r="K16">
        <v>120</v>
      </c>
      <c r="M16" s="391">
        <v>360</v>
      </c>
      <c r="N16" s="391">
        <v>390</v>
      </c>
      <c r="O16" s="402">
        <v>390</v>
      </c>
      <c r="P16" s="404">
        <v>370</v>
      </c>
      <c r="Q16" s="404">
        <v>300</v>
      </c>
      <c r="R16" s="404">
        <v>290</v>
      </c>
    </row>
    <row r="17" spans="1:18" ht="24.75" customHeight="1">
      <c r="A17" s="158" t="s">
        <v>165</v>
      </c>
      <c r="B17" s="159">
        <f>783/200</f>
        <v>3.915</v>
      </c>
      <c r="C17" s="160">
        <f>506/200</f>
        <v>2.5299999999999998</v>
      </c>
      <c r="D17" s="159">
        <f>204/10</f>
        <v>20.399999999999999</v>
      </c>
      <c r="E17" s="375">
        <f t="shared" si="0"/>
        <v>80.632411067193686</v>
      </c>
      <c r="F17" s="162">
        <f t="shared" si="1"/>
        <v>103.3656</v>
      </c>
      <c r="G17" s="338"/>
      <c r="H17" s="338">
        <v>132520</v>
      </c>
      <c r="K17">
        <v>204</v>
      </c>
      <c r="M17" s="391">
        <v>506</v>
      </c>
      <c r="N17" s="391">
        <v>783</v>
      </c>
      <c r="O17" s="402">
        <v>783</v>
      </c>
      <c r="P17" s="404">
        <v>771</v>
      </c>
      <c r="Q17" s="404">
        <v>743</v>
      </c>
      <c r="R17" s="404">
        <v>727</v>
      </c>
    </row>
    <row r="18" spans="1:18" ht="24.75" customHeight="1">
      <c r="A18" s="158" t="s">
        <v>166</v>
      </c>
      <c r="B18" s="159">
        <f>1273/200</f>
        <v>6.3650000000000002</v>
      </c>
      <c r="C18" s="160">
        <f>972/200</f>
        <v>4.8600000000000003</v>
      </c>
      <c r="D18" s="159">
        <f>198.59/10</f>
        <v>19.859000000000002</v>
      </c>
      <c r="E18" s="375">
        <f t="shared" si="0"/>
        <v>40.86213991769548</v>
      </c>
      <c r="F18" s="162">
        <f t="shared" si="1"/>
        <v>111.86915999999999</v>
      </c>
      <c r="G18" s="338"/>
      <c r="H18" s="338">
        <v>143422</v>
      </c>
      <c r="K18" s="289">
        <v>198.58999999999997</v>
      </c>
      <c r="M18" s="391">
        <v>972</v>
      </c>
      <c r="N18" s="391">
        <v>1273</v>
      </c>
      <c r="O18" s="402">
        <v>1273</v>
      </c>
      <c r="P18" s="404">
        <v>1189</v>
      </c>
      <c r="Q18" s="404">
        <v>1174</v>
      </c>
      <c r="R18" s="404">
        <v>1161</v>
      </c>
    </row>
    <row r="19" spans="1:18" ht="24.75" customHeight="1">
      <c r="A19" s="158" t="s">
        <v>167</v>
      </c>
      <c r="B19" s="159">
        <f>60/200</f>
        <v>0.3</v>
      </c>
      <c r="C19" s="160">
        <f>54/200</f>
        <v>0.27</v>
      </c>
      <c r="D19" s="159">
        <f>24.24/10</f>
        <v>2.4239999999999999</v>
      </c>
      <c r="E19" s="375">
        <f t="shared" si="0"/>
        <v>89.777777777777771</v>
      </c>
      <c r="F19" s="162">
        <f t="shared" si="1"/>
        <v>84.79692</v>
      </c>
      <c r="G19" s="338"/>
      <c r="H19" s="338">
        <v>108714</v>
      </c>
      <c r="K19" s="289">
        <v>24.240000000000002</v>
      </c>
      <c r="M19" s="391">
        <v>54</v>
      </c>
      <c r="N19" s="391">
        <v>60</v>
      </c>
      <c r="O19" s="402">
        <v>60</v>
      </c>
      <c r="P19" s="404">
        <v>60</v>
      </c>
      <c r="Q19" s="395">
        <v>60</v>
      </c>
      <c r="R19" s="404">
        <v>60</v>
      </c>
    </row>
    <row r="20" spans="1:18" ht="24.75" customHeight="1">
      <c r="A20" s="158" t="s">
        <v>168</v>
      </c>
      <c r="B20" s="159">
        <f>290/200</f>
        <v>1.45</v>
      </c>
      <c r="C20" s="160">
        <f>218/200</f>
        <v>1.0900000000000001</v>
      </c>
      <c r="D20" s="159">
        <f>107/10</f>
        <v>10.7</v>
      </c>
      <c r="E20" s="375">
        <f t="shared" si="0"/>
        <v>98.165137614678898</v>
      </c>
      <c r="F20" s="162">
        <f t="shared" si="1"/>
        <v>54.512639999999998</v>
      </c>
      <c r="G20" s="338"/>
      <c r="H20" s="338">
        <v>69888</v>
      </c>
      <c r="K20">
        <v>107</v>
      </c>
      <c r="M20" s="391">
        <v>218</v>
      </c>
      <c r="N20" s="391">
        <v>290</v>
      </c>
      <c r="O20" s="402">
        <v>290</v>
      </c>
      <c r="P20" s="404">
        <v>232</v>
      </c>
      <c r="Q20" s="404">
        <v>232</v>
      </c>
      <c r="R20" s="404">
        <v>186</v>
      </c>
    </row>
    <row r="21" spans="1:18" ht="24.75" customHeight="1">
      <c r="A21" s="158" t="s">
        <v>169</v>
      </c>
      <c r="B21" s="160">
        <v>0</v>
      </c>
      <c r="C21" s="160">
        <v>0</v>
      </c>
      <c r="D21" s="159">
        <v>0</v>
      </c>
      <c r="E21" s="159">
        <v>0</v>
      </c>
      <c r="F21" s="162">
        <f t="shared" si="1"/>
        <v>145.50041999999999</v>
      </c>
      <c r="G21" s="338"/>
      <c r="H21" s="338">
        <v>186539</v>
      </c>
      <c r="K21">
        <v>0</v>
      </c>
      <c r="M21" s="391">
        <v>0</v>
      </c>
      <c r="N21" s="391"/>
      <c r="O21" s="402"/>
      <c r="P21" s="404"/>
      <c r="Q21" s="404"/>
      <c r="R21" s="404"/>
    </row>
    <row r="22" spans="1:18" ht="24.75" customHeight="1">
      <c r="A22" s="158" t="s">
        <v>170</v>
      </c>
      <c r="B22" s="160">
        <v>0</v>
      </c>
      <c r="C22" s="160">
        <v>0</v>
      </c>
      <c r="D22" s="159">
        <v>0</v>
      </c>
      <c r="E22" s="159">
        <v>0</v>
      </c>
      <c r="F22" s="162">
        <f t="shared" si="1"/>
        <v>130.67261999999999</v>
      </c>
      <c r="G22" s="338"/>
      <c r="H22" s="338">
        <v>167529</v>
      </c>
      <c r="K22">
        <v>0</v>
      </c>
      <c r="M22" s="391">
        <v>0</v>
      </c>
      <c r="N22" s="391"/>
      <c r="O22" s="402"/>
      <c r="P22" s="404"/>
      <c r="Q22" s="404"/>
      <c r="R22" s="404"/>
    </row>
    <row r="23" spans="1:18" ht="24.75" customHeight="1">
      <c r="A23" s="158" t="s">
        <v>171</v>
      </c>
      <c r="B23" s="159">
        <f>35/200</f>
        <v>0.17499999999999999</v>
      </c>
      <c r="C23" s="160">
        <f>33/200</f>
        <v>0.16500000000000001</v>
      </c>
      <c r="D23" s="159">
        <f>15.59/10</f>
        <v>1.5589999999999999</v>
      </c>
      <c r="E23" s="375">
        <f t="shared" si="0"/>
        <v>94.484848484848484</v>
      </c>
      <c r="F23" s="162">
        <f t="shared" si="1"/>
        <v>70.291259999999994</v>
      </c>
      <c r="G23" s="338"/>
      <c r="H23" s="338">
        <v>90117</v>
      </c>
      <c r="K23" s="289">
        <v>15.59</v>
      </c>
      <c r="M23" s="391">
        <v>33</v>
      </c>
      <c r="N23" s="405">
        <v>35</v>
      </c>
      <c r="O23" s="402">
        <v>35</v>
      </c>
      <c r="P23" s="404">
        <v>35</v>
      </c>
      <c r="Q23" s="404">
        <v>35</v>
      </c>
      <c r="R23" s="404">
        <v>33</v>
      </c>
    </row>
    <row r="24" spans="1:18" ht="24.75" customHeight="1">
      <c r="A24" s="158" t="s">
        <v>172</v>
      </c>
      <c r="B24" s="159">
        <f>850/200</f>
        <v>4.25</v>
      </c>
      <c r="C24" s="160">
        <f>650/200</f>
        <v>3.25</v>
      </c>
      <c r="D24" s="159">
        <f>110/10</f>
        <v>11</v>
      </c>
      <c r="E24" s="375">
        <f t="shared" si="0"/>
        <v>33.846153846153847</v>
      </c>
      <c r="F24" s="162">
        <f t="shared" si="1"/>
        <v>68.561220000000006</v>
      </c>
      <c r="G24" s="338"/>
      <c r="H24" s="338">
        <v>87899</v>
      </c>
      <c r="K24">
        <v>110</v>
      </c>
      <c r="M24" s="391">
        <v>650</v>
      </c>
      <c r="N24" s="405">
        <v>850</v>
      </c>
      <c r="O24" s="402">
        <v>850</v>
      </c>
      <c r="P24" s="404">
        <v>850</v>
      </c>
      <c r="Q24" s="404">
        <v>850</v>
      </c>
      <c r="R24" s="404">
        <v>850</v>
      </c>
    </row>
    <row r="25" spans="1:18" ht="24.75" customHeight="1">
      <c r="A25" s="182" t="s">
        <v>173</v>
      </c>
      <c r="B25" s="184">
        <v>0</v>
      </c>
      <c r="C25" s="184">
        <v>0</v>
      </c>
      <c r="D25" s="183">
        <v>0</v>
      </c>
      <c r="E25" s="183">
        <v>0</v>
      </c>
      <c r="F25" s="185"/>
      <c r="G25" s="338"/>
      <c r="H25" s="338">
        <v>189243</v>
      </c>
      <c r="K25">
        <v>0</v>
      </c>
      <c r="M25" s="391">
        <v>0</v>
      </c>
      <c r="N25" s="391"/>
      <c r="O25" s="402"/>
      <c r="P25" s="404"/>
      <c r="Q25" s="404"/>
      <c r="R25" s="404"/>
    </row>
    <row r="26" spans="1:18" ht="24.75" customHeight="1">
      <c r="A26" s="12">
        <v>2025</v>
      </c>
      <c r="B26" s="186">
        <f>SUM(B9:B25)</f>
        <v>345.45500000000004</v>
      </c>
      <c r="C26" s="186">
        <f t="shared" ref="C26:F26" si="2">SUM(C9:C25)</f>
        <v>121.60499999999999</v>
      </c>
      <c r="D26" s="186">
        <f t="shared" si="2"/>
        <v>1272.2249999999999</v>
      </c>
      <c r="E26" s="186">
        <f t="shared" si="2"/>
        <v>1522.4884387238949</v>
      </c>
      <c r="F26" s="186">
        <f t="shared" si="2"/>
        <v>1445.9905200000001</v>
      </c>
    </row>
    <row r="27" spans="1:18" ht="24.75" customHeight="1">
      <c r="A27" s="12">
        <f t="shared" ref="A27:A30" si="3">A26-1</f>
        <v>2024</v>
      </c>
      <c r="B27" s="167">
        <v>249.32727272727271</v>
      </c>
      <c r="C27" s="167">
        <v>114.15909090909091</v>
      </c>
      <c r="D27" s="167">
        <v>1202.4040000000002</v>
      </c>
      <c r="E27" s="187">
        <v>105.32704758112685</v>
      </c>
      <c r="F27" s="188">
        <v>186.22288434735714</v>
      </c>
    </row>
    <row r="28" spans="1:18" ht="24.75" customHeight="1">
      <c r="A28" s="12">
        <f t="shared" si="3"/>
        <v>2023</v>
      </c>
      <c r="B28" s="169">
        <v>365.88636363636346</v>
      </c>
      <c r="C28" s="169">
        <v>112.99545454545455</v>
      </c>
      <c r="D28" s="169">
        <v>1150.8779999999999</v>
      </c>
      <c r="E28" s="170">
        <v>102.56637725499925</v>
      </c>
      <c r="F28" s="171">
        <v>184.70853573358002</v>
      </c>
    </row>
    <row r="29" spans="1:18" ht="24.75" customHeight="1">
      <c r="A29" s="12">
        <f t="shared" si="3"/>
        <v>2022</v>
      </c>
      <c r="B29" s="169">
        <v>369.92727272727274</v>
      </c>
      <c r="C29" s="169">
        <v>116.78636363636363</v>
      </c>
      <c r="D29" s="169">
        <v>1449.3840181818182</v>
      </c>
      <c r="E29" s="170">
        <v>124.10558673568676</v>
      </c>
      <c r="F29" s="171">
        <v>181.97191205144662</v>
      </c>
    </row>
    <row r="30" spans="1:18" ht="24.75" customHeight="1">
      <c r="A30" s="12">
        <f t="shared" si="3"/>
        <v>2021</v>
      </c>
      <c r="B30" s="169">
        <v>388.66363636363639</v>
      </c>
      <c r="C30" s="169">
        <v>110.30909090909091</v>
      </c>
      <c r="D30" s="169">
        <v>1311.1999999999998</v>
      </c>
      <c r="E30" s="170">
        <v>118.8659963738256</v>
      </c>
      <c r="F30" s="171">
        <v>180.38564900099999</v>
      </c>
    </row>
    <row r="31" spans="1:18" ht="14.25" customHeight="1">
      <c r="A31" s="172"/>
      <c r="B31" s="169"/>
      <c r="C31" s="169"/>
      <c r="D31" s="169"/>
      <c r="E31" s="170"/>
      <c r="F31" s="171"/>
    </row>
    <row r="32" spans="1:18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conditionalFormatting sqref="Q19">
    <cfRule type="containsText" dxfId="1" priority="1" stopIfTrue="1" operator="containsText" text="NILAI">
      <formula>NOT(ISERROR(SEARCH("NILAI",Q19)))</formula>
    </cfRule>
    <cfRule type="containsBlanks" dxfId="0" priority="2" stopIfTrue="1">
      <formula>LEN(TRIM(Q19))=0</formula>
    </cfRule>
  </conditionalFormatting>
  <pageMargins left="0.7" right="0.7" top="0.75" bottom="0.75" header="0" footer="0"/>
  <pageSetup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Q1000"/>
  <sheetViews>
    <sheetView topLeftCell="A21" workbookViewId="0">
      <selection activeCell="B26" sqref="B26:F26"/>
    </sheetView>
  </sheetViews>
  <sheetFormatPr defaultColWidth="14.42578125" defaultRowHeight="15" customHeight="1"/>
  <cols>
    <col min="1" max="1" width="26.42578125" customWidth="1"/>
    <col min="2" max="10" width="8.7109375" customWidth="1"/>
    <col min="11" max="11" width="10.42578125" customWidth="1"/>
    <col min="12" max="12" width="10.85546875" customWidth="1"/>
    <col min="13" max="26" width="8.7109375" customWidth="1"/>
  </cols>
  <sheetData>
    <row r="1" spans="1:17" ht="14.25" customHeight="1">
      <c r="A1" s="429" t="s">
        <v>227</v>
      </c>
      <c r="B1" s="423"/>
      <c r="C1" s="423"/>
      <c r="D1" s="423"/>
      <c r="E1" s="423"/>
      <c r="F1" s="423"/>
    </row>
    <row r="2" spans="1:17" ht="14.25" customHeight="1">
      <c r="A2" s="429" t="s">
        <v>228</v>
      </c>
      <c r="B2" s="423"/>
      <c r="C2" s="423"/>
      <c r="D2" s="423"/>
      <c r="E2" s="423"/>
      <c r="F2" s="423"/>
    </row>
    <row r="3" spans="1:17" ht="14.25" customHeight="1">
      <c r="A3" s="429" t="s">
        <v>102</v>
      </c>
      <c r="B3" s="423"/>
      <c r="C3" s="423"/>
      <c r="D3" s="423"/>
      <c r="E3" s="423"/>
      <c r="F3" s="423"/>
    </row>
    <row r="4" spans="1:17" ht="14.25" customHeight="1">
      <c r="A4" s="137"/>
      <c r="B4" s="141"/>
      <c r="C4" s="122"/>
      <c r="D4" s="122"/>
      <c r="E4" s="123"/>
      <c r="F4" s="122"/>
    </row>
    <row r="5" spans="1:17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7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7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7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38">
        <f>0.364/1000</f>
        <v>3.6400000000000001E-4</v>
      </c>
      <c r="I8">
        <f>J8*52</f>
        <v>0.36399999999999999</v>
      </c>
      <c r="J8" s="378">
        <v>7.0000000000000001E-3</v>
      </c>
      <c r="K8" t="s">
        <v>260</v>
      </c>
      <c r="L8" s="394" t="s">
        <v>263</v>
      </c>
      <c r="M8" s="397" t="s">
        <v>264</v>
      </c>
      <c r="N8" s="403" t="s">
        <v>265</v>
      </c>
      <c r="O8" s="403" t="s">
        <v>266</v>
      </c>
      <c r="P8" s="403" t="s">
        <v>267</v>
      </c>
      <c r="Q8" s="384"/>
    </row>
    <row r="9" spans="1:17" ht="24.75" customHeight="1">
      <c r="A9" s="158" t="s">
        <v>157</v>
      </c>
      <c r="B9" s="159">
        <f>3340/100</f>
        <v>33.4</v>
      </c>
      <c r="C9" s="160">
        <f>135/100</f>
        <v>1.35</v>
      </c>
      <c r="D9" s="159">
        <f>458/10</f>
        <v>45.8</v>
      </c>
      <c r="E9" s="375">
        <f t="shared" ref="E9:E18" si="0">(D9*10)/C9</f>
        <v>339.25925925925924</v>
      </c>
      <c r="F9" s="162">
        <f>$H$8*H9</f>
        <v>23.690940000000001</v>
      </c>
      <c r="G9" s="338"/>
      <c r="H9" s="338">
        <v>65085</v>
      </c>
      <c r="K9">
        <v>135</v>
      </c>
      <c r="L9" s="390">
        <v>3340</v>
      </c>
      <c r="M9" s="402">
        <v>3340</v>
      </c>
      <c r="N9" s="404">
        <v>3340</v>
      </c>
      <c r="O9" s="404">
        <v>3340</v>
      </c>
      <c r="P9" s="404">
        <v>3340</v>
      </c>
      <c r="Q9" s="384"/>
    </row>
    <row r="10" spans="1:17" ht="24.75" customHeight="1">
      <c r="A10" s="158" t="s">
        <v>158</v>
      </c>
      <c r="B10" s="159">
        <f>904/100</f>
        <v>9.0399999999999991</v>
      </c>
      <c r="C10" s="160">
        <f>95/100</f>
        <v>0.95</v>
      </c>
      <c r="D10" s="159">
        <f>181/10</f>
        <v>18.100000000000001</v>
      </c>
      <c r="E10" s="375">
        <f t="shared" si="0"/>
        <v>190.5263157894737</v>
      </c>
      <c r="F10" s="162">
        <f t="shared" ref="F10:F25" si="1">$H$8*H10</f>
        <v>38.956372000000002</v>
      </c>
      <c r="G10" s="338"/>
      <c r="H10" s="338">
        <v>107023</v>
      </c>
      <c r="K10" s="384">
        <v>95</v>
      </c>
      <c r="L10" s="390">
        <v>904</v>
      </c>
      <c r="M10" s="402">
        <v>900</v>
      </c>
      <c r="N10" s="404">
        <v>900</v>
      </c>
      <c r="O10" s="404">
        <v>900</v>
      </c>
      <c r="P10" s="404">
        <v>904</v>
      </c>
      <c r="Q10" s="384"/>
    </row>
    <row r="11" spans="1:17" ht="24.75" customHeight="1">
      <c r="A11" s="158" t="s">
        <v>159</v>
      </c>
      <c r="B11" s="159">
        <f>428/100</f>
        <v>4.28</v>
      </c>
      <c r="C11" s="160">
        <f>317/100</f>
        <v>3.17</v>
      </c>
      <c r="D11" s="159">
        <f>205/10</f>
        <v>20.5</v>
      </c>
      <c r="E11" s="375">
        <f t="shared" si="0"/>
        <v>64.668769716088335</v>
      </c>
      <c r="F11" s="162">
        <f t="shared" si="1"/>
        <v>42.660072</v>
      </c>
      <c r="G11" s="338"/>
      <c r="H11" s="338">
        <v>117198</v>
      </c>
      <c r="K11" s="384">
        <v>317</v>
      </c>
      <c r="L11" s="390">
        <v>428</v>
      </c>
      <c r="M11" s="402">
        <v>428</v>
      </c>
      <c r="N11" s="404">
        <v>372</v>
      </c>
      <c r="O11" s="404">
        <v>338</v>
      </c>
      <c r="P11" s="404">
        <v>313</v>
      </c>
      <c r="Q11" s="384"/>
    </row>
    <row r="12" spans="1:17" ht="24.75" customHeight="1">
      <c r="A12" s="158" t="s">
        <v>160</v>
      </c>
      <c r="B12" s="159">
        <f>1133/100</f>
        <v>11.33</v>
      </c>
      <c r="C12" s="160">
        <f>355/100</f>
        <v>3.55</v>
      </c>
      <c r="D12" s="159">
        <f>330/10</f>
        <v>33</v>
      </c>
      <c r="E12" s="375">
        <f t="shared" si="0"/>
        <v>92.957746478873247</v>
      </c>
      <c r="F12" s="162">
        <f t="shared" si="1"/>
        <v>42.404544000000001</v>
      </c>
      <c r="G12" s="338"/>
      <c r="H12" s="338">
        <v>116496</v>
      </c>
      <c r="K12">
        <v>355</v>
      </c>
      <c r="L12" s="390">
        <v>1133</v>
      </c>
      <c r="M12" s="402">
        <v>1133</v>
      </c>
      <c r="N12" s="404">
        <v>1123</v>
      </c>
      <c r="O12" s="404">
        <v>1113</v>
      </c>
      <c r="P12" s="404">
        <v>1103</v>
      </c>
      <c r="Q12" s="384"/>
    </row>
    <row r="13" spans="1:17" ht="24.75" customHeight="1">
      <c r="A13" s="158" t="s">
        <v>161</v>
      </c>
      <c r="B13" s="159">
        <f>2622/100</f>
        <v>26.22</v>
      </c>
      <c r="C13" s="160">
        <f>751/100</f>
        <v>7.51</v>
      </c>
      <c r="D13" s="159">
        <f>2608/10</f>
        <v>260.8</v>
      </c>
      <c r="E13" s="375">
        <f t="shared" si="0"/>
        <v>347.27030625832225</v>
      </c>
      <c r="F13" s="162">
        <f t="shared" si="1"/>
        <v>26.210912</v>
      </c>
      <c r="G13" s="338"/>
      <c r="H13" s="338">
        <v>72008</v>
      </c>
      <c r="K13">
        <v>751</v>
      </c>
      <c r="L13" s="390">
        <v>2622</v>
      </c>
      <c r="M13" s="402">
        <v>2147</v>
      </c>
      <c r="N13" s="404">
        <v>2147</v>
      </c>
      <c r="O13" s="404">
        <v>2147</v>
      </c>
      <c r="P13" s="404">
        <v>2622</v>
      </c>
      <c r="Q13" s="384"/>
    </row>
    <row r="14" spans="1:17" ht="24.75" customHeight="1">
      <c r="A14" s="158" t="s">
        <v>162</v>
      </c>
      <c r="B14" s="159">
        <f>5154/100</f>
        <v>51.54</v>
      </c>
      <c r="C14" s="160">
        <f>160/100</f>
        <v>1.6</v>
      </c>
      <c r="D14" s="159">
        <f>113/10</f>
        <v>11.3</v>
      </c>
      <c r="E14" s="375">
        <f t="shared" si="0"/>
        <v>70.625</v>
      </c>
      <c r="F14" s="162">
        <f t="shared" si="1"/>
        <v>28.961660000000002</v>
      </c>
      <c r="G14" s="338"/>
      <c r="H14" s="338">
        <v>79565</v>
      </c>
      <c r="K14">
        <v>160</v>
      </c>
      <c r="L14" s="390">
        <v>5154</v>
      </c>
      <c r="M14" s="402">
        <v>5154</v>
      </c>
      <c r="N14" s="404">
        <v>5134</v>
      </c>
      <c r="O14" s="404">
        <v>5134</v>
      </c>
      <c r="P14" s="404">
        <v>5126</v>
      </c>
      <c r="Q14" s="384"/>
    </row>
    <row r="15" spans="1:17" ht="24.75" customHeight="1">
      <c r="A15" s="158" t="s">
        <v>163</v>
      </c>
      <c r="B15" s="159">
        <f>8/100</f>
        <v>0.08</v>
      </c>
      <c r="C15" s="159">
        <v>0</v>
      </c>
      <c r="D15" s="159">
        <v>0</v>
      </c>
      <c r="E15" s="159">
        <v>0</v>
      </c>
      <c r="F15" s="162">
        <f t="shared" si="1"/>
        <v>59.330908000000001</v>
      </c>
      <c r="G15" s="338"/>
      <c r="H15" s="338">
        <v>162997</v>
      </c>
      <c r="L15" s="390">
        <v>8</v>
      </c>
      <c r="M15" s="402">
        <v>2</v>
      </c>
      <c r="N15" s="404">
        <v>2</v>
      </c>
      <c r="O15" s="404">
        <v>8</v>
      </c>
      <c r="P15" s="404">
        <v>8</v>
      </c>
      <c r="Q15" s="384"/>
    </row>
    <row r="16" spans="1:17" ht="24.75" customHeight="1">
      <c r="A16" s="158" t="s">
        <v>164</v>
      </c>
      <c r="B16" s="159"/>
      <c r="C16" s="159">
        <v>0</v>
      </c>
      <c r="D16" s="159">
        <v>0</v>
      </c>
      <c r="E16" s="159">
        <v>0</v>
      </c>
      <c r="F16" s="162">
        <f t="shared" si="1"/>
        <v>53.447576000000005</v>
      </c>
      <c r="G16" s="338"/>
      <c r="H16" s="338">
        <v>146834</v>
      </c>
      <c r="M16" s="402"/>
      <c r="N16" s="404"/>
      <c r="O16" s="404"/>
      <c r="P16" s="404"/>
      <c r="Q16" s="384"/>
    </row>
    <row r="17" spans="1:17" ht="24.75" customHeight="1">
      <c r="A17" s="158" t="s">
        <v>165</v>
      </c>
      <c r="B17" s="159">
        <f>38/100</f>
        <v>0.38</v>
      </c>
      <c r="C17" s="160">
        <f>10/100</f>
        <v>0.1</v>
      </c>
      <c r="D17" s="159">
        <f>8/10</f>
        <v>0.8</v>
      </c>
      <c r="E17" s="375">
        <f t="shared" si="0"/>
        <v>80</v>
      </c>
      <c r="F17" s="162">
        <f t="shared" si="1"/>
        <v>48.237279999999998</v>
      </c>
      <c r="G17" s="338"/>
      <c r="H17" s="338">
        <v>132520</v>
      </c>
      <c r="K17">
        <v>10</v>
      </c>
      <c r="L17" s="390">
        <v>38</v>
      </c>
      <c r="M17" s="402">
        <v>38</v>
      </c>
      <c r="N17" s="404">
        <v>38</v>
      </c>
      <c r="O17" s="404">
        <v>38</v>
      </c>
      <c r="P17" s="404">
        <v>38</v>
      </c>
      <c r="Q17" s="384"/>
    </row>
    <row r="18" spans="1:17" ht="24.75" customHeight="1">
      <c r="A18" s="158" t="s">
        <v>166</v>
      </c>
      <c r="B18" s="159">
        <f>18/100</f>
        <v>0.18</v>
      </c>
      <c r="C18" s="160">
        <f>18/100</f>
        <v>0.18</v>
      </c>
      <c r="D18" s="159">
        <f>111/10</f>
        <v>11.1</v>
      </c>
      <c r="E18" s="375">
        <f t="shared" si="0"/>
        <v>616.66666666666674</v>
      </c>
      <c r="F18" s="162">
        <f t="shared" si="1"/>
        <v>52.205608000000005</v>
      </c>
      <c r="G18" s="338"/>
      <c r="H18" s="338">
        <v>143422</v>
      </c>
      <c r="K18">
        <v>18</v>
      </c>
      <c r="L18" s="390">
        <v>18</v>
      </c>
      <c r="M18" s="402">
        <v>18</v>
      </c>
      <c r="N18" s="404">
        <v>18</v>
      </c>
      <c r="O18" s="404">
        <v>18</v>
      </c>
      <c r="P18" s="404">
        <v>18</v>
      </c>
      <c r="Q18" s="384"/>
    </row>
    <row r="19" spans="1:17" ht="24.75" customHeight="1">
      <c r="A19" s="158" t="s">
        <v>167</v>
      </c>
      <c r="B19" s="159">
        <v>0</v>
      </c>
      <c r="C19" s="159">
        <v>0</v>
      </c>
      <c r="D19" s="159">
        <v>0</v>
      </c>
      <c r="E19" s="159">
        <v>0</v>
      </c>
      <c r="F19" s="162">
        <f t="shared" si="1"/>
        <v>39.571896000000002</v>
      </c>
      <c r="G19" s="338"/>
      <c r="H19" s="338">
        <v>108714</v>
      </c>
      <c r="K19">
        <v>0</v>
      </c>
      <c r="M19" s="402"/>
      <c r="N19" s="404"/>
      <c r="O19" s="404"/>
      <c r="P19" s="404"/>
      <c r="Q19" s="384"/>
    </row>
    <row r="20" spans="1:17" ht="24.75" customHeight="1">
      <c r="A20" s="158" t="s">
        <v>168</v>
      </c>
      <c r="B20" s="159">
        <v>0</v>
      </c>
      <c r="C20" s="159">
        <v>0</v>
      </c>
      <c r="D20" s="159">
        <v>0</v>
      </c>
      <c r="E20" s="159">
        <v>0</v>
      </c>
      <c r="F20" s="162">
        <f t="shared" si="1"/>
        <v>25.439232000000001</v>
      </c>
      <c r="G20" s="338"/>
      <c r="H20" s="338">
        <v>69888</v>
      </c>
      <c r="K20" s="388">
        <v>0</v>
      </c>
      <c r="M20" s="402"/>
      <c r="N20" s="404"/>
      <c r="O20" s="404"/>
      <c r="P20" s="404"/>
      <c r="Q20" s="384"/>
    </row>
    <row r="21" spans="1:17" ht="24.75" customHeight="1">
      <c r="A21" s="158" t="s">
        <v>169</v>
      </c>
      <c r="B21" s="159">
        <v>0</v>
      </c>
      <c r="C21" s="159">
        <v>0</v>
      </c>
      <c r="D21" s="159">
        <v>0</v>
      </c>
      <c r="E21" s="159">
        <v>0</v>
      </c>
      <c r="F21" s="162">
        <f t="shared" si="1"/>
        <v>67.900196000000008</v>
      </c>
      <c r="G21" s="338"/>
      <c r="H21" s="338">
        <v>186539</v>
      </c>
      <c r="K21" s="388">
        <v>0</v>
      </c>
      <c r="M21" s="402"/>
      <c r="N21" s="404"/>
      <c r="O21" s="404"/>
      <c r="P21" s="404"/>
      <c r="Q21" s="384"/>
    </row>
    <row r="22" spans="1:17" ht="24.75" customHeight="1">
      <c r="A22" s="158" t="s">
        <v>170</v>
      </c>
      <c r="B22" s="159">
        <v>0</v>
      </c>
      <c r="C22" s="159">
        <v>0</v>
      </c>
      <c r="D22" s="159">
        <v>0</v>
      </c>
      <c r="E22" s="159">
        <v>0</v>
      </c>
      <c r="F22" s="162">
        <f t="shared" si="1"/>
        <v>60.980556</v>
      </c>
      <c r="G22" s="338"/>
      <c r="H22" s="338">
        <v>167529</v>
      </c>
      <c r="K22" s="388">
        <v>0</v>
      </c>
      <c r="M22" s="402"/>
      <c r="N22" s="404"/>
      <c r="O22" s="404"/>
      <c r="P22" s="404"/>
      <c r="Q22" s="384"/>
    </row>
    <row r="23" spans="1:17" ht="24.75" customHeight="1">
      <c r="A23" s="158" t="s">
        <v>171</v>
      </c>
      <c r="B23" s="159">
        <v>0</v>
      </c>
      <c r="C23" s="159">
        <v>0</v>
      </c>
      <c r="D23" s="159">
        <v>0</v>
      </c>
      <c r="E23" s="159">
        <v>0</v>
      </c>
      <c r="F23" s="162">
        <f t="shared" si="1"/>
        <v>32.802588</v>
      </c>
      <c r="G23" s="338"/>
      <c r="H23" s="338">
        <v>90117</v>
      </c>
      <c r="K23" s="388">
        <v>0</v>
      </c>
      <c r="M23" s="402"/>
      <c r="N23" s="404"/>
      <c r="O23" s="404"/>
      <c r="P23" s="404"/>
      <c r="Q23" s="384"/>
    </row>
    <row r="24" spans="1:17" ht="24.75" customHeight="1">
      <c r="A24" s="158" t="s">
        <v>172</v>
      </c>
      <c r="B24" s="159">
        <v>0</v>
      </c>
      <c r="C24" s="159">
        <v>0</v>
      </c>
      <c r="D24" s="159">
        <v>0</v>
      </c>
      <c r="E24" s="159">
        <v>0</v>
      </c>
      <c r="F24" s="162">
        <f t="shared" si="1"/>
        <v>31.995236000000002</v>
      </c>
      <c r="G24" s="338"/>
      <c r="H24" s="338">
        <v>87899</v>
      </c>
      <c r="K24" s="388">
        <v>0</v>
      </c>
      <c r="M24" s="402"/>
      <c r="N24" s="404"/>
      <c r="O24" s="404"/>
      <c r="P24" s="404"/>
      <c r="Q24" s="384"/>
    </row>
    <row r="25" spans="1:17" ht="24.75" customHeight="1">
      <c r="A25" s="182" t="s">
        <v>173</v>
      </c>
      <c r="B25" s="159">
        <v>0</v>
      </c>
      <c r="C25" s="159">
        <v>0</v>
      </c>
      <c r="D25" s="159">
        <v>0</v>
      </c>
      <c r="E25" s="159">
        <v>0</v>
      </c>
      <c r="F25" s="162">
        <f t="shared" si="1"/>
        <v>68.884451999999996</v>
      </c>
      <c r="G25" s="338"/>
      <c r="H25" s="338">
        <v>189243</v>
      </c>
      <c r="K25" s="388">
        <v>0</v>
      </c>
      <c r="M25" s="402"/>
      <c r="N25" s="404"/>
      <c r="O25" s="404"/>
      <c r="P25" s="404"/>
      <c r="Q25" s="384"/>
    </row>
    <row r="26" spans="1:17" ht="24.75" customHeight="1">
      <c r="A26" s="12">
        <v>2025</v>
      </c>
      <c r="B26" s="186">
        <f>SUM(B9:B25)</f>
        <v>136.45000000000002</v>
      </c>
      <c r="C26" s="186">
        <f>SUM(C9:C25)</f>
        <v>18.410000000000004</v>
      </c>
      <c r="D26" s="186">
        <f>SUM(D9:D25)</f>
        <v>401.40000000000009</v>
      </c>
      <c r="E26" s="186">
        <f>SUM(E9:E25)</f>
        <v>1801.9740641686835</v>
      </c>
      <c r="F26" s="186">
        <f>SUM(F9:F25)</f>
        <v>743.68002799999999</v>
      </c>
      <c r="N26" s="384"/>
      <c r="O26" s="384"/>
      <c r="P26" s="384"/>
      <c r="Q26" s="384"/>
    </row>
    <row r="27" spans="1:17" ht="24.75" customHeight="1">
      <c r="A27" s="12">
        <f t="shared" ref="A27:A30" si="2">A26-1</f>
        <v>2024</v>
      </c>
      <c r="B27" s="167">
        <v>108.64999999999999</v>
      </c>
      <c r="C27" s="167">
        <v>18.84</v>
      </c>
      <c r="D27" s="167">
        <v>222.23000000000002</v>
      </c>
      <c r="E27" s="187">
        <v>117.95647558386413</v>
      </c>
      <c r="F27" s="188">
        <v>537.27076000000011</v>
      </c>
      <c r="N27" s="384"/>
      <c r="O27" s="384"/>
      <c r="P27" s="384"/>
      <c r="Q27" s="384"/>
    </row>
    <row r="28" spans="1:17" ht="24.75" customHeight="1">
      <c r="A28" s="12">
        <f t="shared" si="2"/>
        <v>2023</v>
      </c>
      <c r="B28" s="169">
        <v>113.35</v>
      </c>
      <c r="C28" s="169">
        <v>31.660000000000004</v>
      </c>
      <c r="D28" s="169">
        <v>408.19100000000003</v>
      </c>
      <c r="E28" s="170">
        <v>119.11735863559876</v>
      </c>
      <c r="F28" s="171">
        <v>749.09572825285227</v>
      </c>
      <c r="N28" s="384"/>
      <c r="O28" s="384"/>
      <c r="P28" s="384"/>
      <c r="Q28" s="384"/>
    </row>
    <row r="29" spans="1:17" ht="24.75" customHeight="1">
      <c r="A29" s="12">
        <f t="shared" si="2"/>
        <v>2022</v>
      </c>
      <c r="B29" s="169">
        <v>124.87</v>
      </c>
      <c r="C29" s="169">
        <v>22.08</v>
      </c>
      <c r="D29" s="169">
        <v>278.00700000000001</v>
      </c>
      <c r="E29" s="170">
        <v>125.90896739130436</v>
      </c>
      <c r="F29" s="171">
        <v>737.99719887531114</v>
      </c>
      <c r="N29" s="384"/>
      <c r="O29" s="384"/>
      <c r="P29" s="384"/>
      <c r="Q29" s="384"/>
    </row>
    <row r="30" spans="1:17" ht="24.75" customHeight="1">
      <c r="A30" s="12">
        <f t="shared" si="2"/>
        <v>2021</v>
      </c>
      <c r="B30" s="169">
        <v>127.92</v>
      </c>
      <c r="C30" s="169">
        <v>24.8</v>
      </c>
      <c r="D30" s="169">
        <v>321.99999999999994</v>
      </c>
      <c r="E30" s="170">
        <v>129.83870967741933</v>
      </c>
      <c r="F30" s="171">
        <v>731.5640209485</v>
      </c>
      <c r="N30" s="384"/>
      <c r="O30" s="384"/>
      <c r="P30" s="384"/>
      <c r="Q30" s="384"/>
    </row>
    <row r="31" spans="1:17" ht="14.25" customHeight="1">
      <c r="A31" s="172"/>
      <c r="B31" s="169"/>
      <c r="C31" s="169"/>
      <c r="D31" s="169"/>
      <c r="E31" s="170"/>
      <c r="F31" s="171"/>
      <c r="N31" s="384"/>
      <c r="O31" s="384"/>
      <c r="P31" s="384"/>
      <c r="Q31" s="384"/>
    </row>
    <row r="32" spans="1:17" ht="14.25" customHeight="1">
      <c r="A32" s="158"/>
      <c r="B32" s="159"/>
      <c r="C32" s="159"/>
      <c r="D32" s="159"/>
      <c r="E32" s="161"/>
      <c r="F32" s="181"/>
      <c r="N32" s="384"/>
      <c r="O32" s="384"/>
      <c r="P32" s="384"/>
      <c r="Q32" s="384"/>
    </row>
    <row r="33" spans="1:17" ht="14.25" customHeight="1" thickBot="1">
      <c r="A33" s="173"/>
      <c r="B33" s="174"/>
      <c r="C33" s="174"/>
      <c r="D33" s="174"/>
      <c r="E33" s="176"/>
      <c r="F33" s="177"/>
      <c r="N33" s="384"/>
      <c r="O33" s="384"/>
      <c r="P33" s="384"/>
      <c r="Q33" s="384"/>
    </row>
    <row r="34" spans="1:17" ht="14.25" customHeight="1" thickTop="1">
      <c r="A34" s="120" t="s">
        <v>144</v>
      </c>
      <c r="B34" s="121"/>
      <c r="C34" s="122"/>
      <c r="D34" s="122"/>
      <c r="E34" s="123"/>
      <c r="F34" s="122"/>
      <c r="N34" s="384"/>
      <c r="O34" s="384"/>
      <c r="P34" s="384"/>
      <c r="Q34" s="384"/>
    </row>
    <row r="35" spans="1:17" ht="14.25" customHeight="1">
      <c r="N35" s="384"/>
      <c r="O35" s="384"/>
      <c r="P35" s="384"/>
      <c r="Q35" s="384"/>
    </row>
    <row r="36" spans="1:17" ht="14.25" customHeight="1">
      <c r="N36" s="384"/>
      <c r="O36" s="384"/>
      <c r="P36" s="384"/>
      <c r="Q36" s="384"/>
    </row>
    <row r="37" spans="1:17" ht="14.25" customHeight="1"/>
    <row r="38" spans="1:17" ht="14.25" customHeight="1"/>
    <row r="39" spans="1:17" ht="14.25" customHeight="1"/>
    <row r="40" spans="1:17" ht="14.25" customHeight="1"/>
    <row r="41" spans="1:17" ht="14.25" customHeight="1"/>
    <row r="42" spans="1:17" ht="14.25" customHeight="1"/>
    <row r="43" spans="1:17" ht="14.25" customHeight="1"/>
    <row r="44" spans="1:17" ht="14.25" customHeight="1"/>
    <row r="45" spans="1:17" ht="14.25" customHeight="1"/>
    <row r="46" spans="1:17" ht="14.25" customHeight="1"/>
    <row r="47" spans="1:17" ht="14.25" customHeight="1"/>
    <row r="48" spans="1:1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S1000"/>
  <sheetViews>
    <sheetView view="pageBreakPreview" topLeftCell="A16" zoomScale="80" zoomScaleNormal="100" zoomScaleSheetLayoutView="80" workbookViewId="0">
      <selection activeCell="B26" sqref="B26:F26"/>
    </sheetView>
  </sheetViews>
  <sheetFormatPr defaultColWidth="14.42578125" defaultRowHeight="15" customHeight="1"/>
  <cols>
    <col min="1" max="1" width="23.7109375" customWidth="1"/>
    <col min="2" max="14" width="8.7109375" customWidth="1"/>
    <col min="15" max="15" width="13" customWidth="1"/>
    <col min="16" max="26" width="8.7109375" customWidth="1"/>
  </cols>
  <sheetData>
    <row r="1" spans="1:19" ht="14.25" customHeight="1">
      <c r="A1" s="429" t="s">
        <v>229</v>
      </c>
      <c r="B1" s="423"/>
      <c r="C1" s="423"/>
      <c r="D1" s="423"/>
      <c r="E1" s="423"/>
      <c r="F1" s="423"/>
    </row>
    <row r="2" spans="1:19" ht="14.25" customHeight="1">
      <c r="A2" s="429" t="s">
        <v>230</v>
      </c>
      <c r="B2" s="423"/>
      <c r="C2" s="423"/>
      <c r="D2" s="423"/>
      <c r="E2" s="423"/>
      <c r="F2" s="423"/>
    </row>
    <row r="3" spans="1:19" ht="14.25" customHeight="1">
      <c r="A3" s="429" t="s">
        <v>102</v>
      </c>
      <c r="B3" s="423"/>
      <c r="C3" s="423"/>
      <c r="D3" s="423"/>
      <c r="E3" s="423"/>
      <c r="F3" s="423"/>
    </row>
    <row r="4" spans="1:19" ht="14.25" customHeight="1">
      <c r="A4" s="137"/>
      <c r="B4" s="141"/>
      <c r="C4" s="122"/>
      <c r="D4" s="122"/>
      <c r="E4" s="123"/>
      <c r="F4" s="122"/>
    </row>
    <row r="5" spans="1:19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9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9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9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38">
        <f>I8/1000</f>
        <v>1.0400000000000001E-4</v>
      </c>
      <c r="I8">
        <f>J8*52</f>
        <v>0.10400000000000001</v>
      </c>
      <c r="J8" s="378">
        <v>2E-3</v>
      </c>
      <c r="M8" s="394" t="s">
        <v>261</v>
      </c>
      <c r="O8" s="394" t="s">
        <v>263</v>
      </c>
      <c r="P8" s="397" t="s">
        <v>264</v>
      </c>
      <c r="Q8" s="403" t="s">
        <v>265</v>
      </c>
      <c r="R8" s="403" t="s">
        <v>266</v>
      </c>
      <c r="S8" s="403" t="s">
        <v>267</v>
      </c>
    </row>
    <row r="9" spans="1:19" ht="24.75" customHeight="1">
      <c r="A9" s="158" t="s">
        <v>157</v>
      </c>
      <c r="B9" s="183">
        <f>5000/100</f>
        <v>50</v>
      </c>
      <c r="C9" s="391">
        <f>4080/100</f>
        <v>40.799999999999997</v>
      </c>
      <c r="D9" s="183">
        <f>2053/10</f>
        <v>205.3</v>
      </c>
      <c r="E9" s="375">
        <f t="shared" ref="E9:E25" si="0">(D9*10)/C9</f>
        <v>50.318627450980394</v>
      </c>
      <c r="F9" s="162">
        <f>$H$8*H9</f>
        <v>6.7688400000000009</v>
      </c>
      <c r="G9" s="338"/>
      <c r="H9" s="338">
        <v>65085</v>
      </c>
      <c r="K9" s="389">
        <v>2052.7199999999998</v>
      </c>
      <c r="M9" s="384">
        <v>4080</v>
      </c>
      <c r="O9" s="390">
        <v>5000</v>
      </c>
      <c r="P9">
        <v>5000</v>
      </c>
      <c r="Q9" s="384">
        <v>5000</v>
      </c>
      <c r="R9" s="384">
        <v>5000</v>
      </c>
      <c r="S9">
        <v>5000</v>
      </c>
    </row>
    <row r="10" spans="1:19" ht="24.75" customHeight="1">
      <c r="A10" s="158" t="s">
        <v>158</v>
      </c>
      <c r="B10" s="159">
        <f>29571/100</f>
        <v>295.70999999999998</v>
      </c>
      <c r="C10" s="393">
        <f>13252/100</f>
        <v>132.52000000000001</v>
      </c>
      <c r="D10" s="159">
        <f>15316/10</f>
        <v>1531.6</v>
      </c>
      <c r="E10" s="375">
        <f t="shared" si="0"/>
        <v>115.57500754603078</v>
      </c>
      <c r="F10" s="162">
        <f t="shared" ref="F10:F25" si="1">$H$8*H10</f>
        <v>11.130392000000001</v>
      </c>
      <c r="G10" s="338"/>
      <c r="H10" s="338">
        <v>107023</v>
      </c>
      <c r="K10" s="389">
        <v>15316</v>
      </c>
      <c r="M10">
        <v>13252</v>
      </c>
      <c r="O10" s="390">
        <v>29571</v>
      </c>
      <c r="P10">
        <v>29571</v>
      </c>
      <c r="Q10" s="384">
        <v>29571</v>
      </c>
      <c r="R10" s="384">
        <v>29571</v>
      </c>
      <c r="S10">
        <v>29583</v>
      </c>
    </row>
    <row r="11" spans="1:19" ht="24.75" customHeight="1">
      <c r="A11" s="158" t="s">
        <v>159</v>
      </c>
      <c r="B11" s="159">
        <f>11200/100</f>
        <v>112</v>
      </c>
      <c r="C11" s="393">
        <f>4028/100</f>
        <v>40.28</v>
      </c>
      <c r="D11" s="159">
        <f>15637/10</f>
        <v>1563.7</v>
      </c>
      <c r="E11" s="375">
        <f t="shared" si="0"/>
        <v>388.20754716981133</v>
      </c>
      <c r="F11" s="162">
        <f t="shared" si="1"/>
        <v>12.188592000000002</v>
      </c>
      <c r="G11" s="338"/>
      <c r="H11" s="338">
        <v>117198</v>
      </c>
      <c r="K11" s="389">
        <v>15637.369999999999</v>
      </c>
      <c r="M11" s="384">
        <v>4028</v>
      </c>
      <c r="O11" s="390">
        <v>11200</v>
      </c>
      <c r="P11">
        <v>11200</v>
      </c>
      <c r="Q11" s="384">
        <v>11082</v>
      </c>
      <c r="R11" s="384">
        <v>10795</v>
      </c>
      <c r="S11">
        <v>10717</v>
      </c>
    </row>
    <row r="12" spans="1:19" ht="24.75" customHeight="1">
      <c r="A12" s="158" t="s">
        <v>160</v>
      </c>
      <c r="B12" s="159">
        <f>16234/100</f>
        <v>162.34</v>
      </c>
      <c r="C12" s="393">
        <f>4450/100</f>
        <v>44.5</v>
      </c>
      <c r="D12" s="159">
        <f>3239/10</f>
        <v>323.89999999999998</v>
      </c>
      <c r="E12" s="375">
        <f t="shared" si="0"/>
        <v>72.786516853932582</v>
      </c>
      <c r="F12" s="162">
        <f t="shared" si="1"/>
        <v>12.115584</v>
      </c>
      <c r="G12" s="338"/>
      <c r="H12" s="338">
        <v>116496</v>
      </c>
      <c r="K12" s="389">
        <v>3239.0499999999997</v>
      </c>
      <c r="M12">
        <v>4450</v>
      </c>
      <c r="O12" s="390">
        <v>16234</v>
      </c>
      <c r="P12">
        <v>16234</v>
      </c>
      <c r="Q12" s="384">
        <v>16184</v>
      </c>
      <c r="R12" s="384">
        <v>16164</v>
      </c>
      <c r="S12">
        <v>16114</v>
      </c>
    </row>
    <row r="13" spans="1:19" ht="24.75" customHeight="1">
      <c r="A13" s="158" t="s">
        <v>161</v>
      </c>
      <c r="B13" s="159">
        <f>7239/100</f>
        <v>72.39</v>
      </c>
      <c r="C13" s="159">
        <v>0</v>
      </c>
      <c r="D13" s="159">
        <v>0</v>
      </c>
      <c r="E13" s="159">
        <v>0</v>
      </c>
      <c r="F13" s="162">
        <f t="shared" si="1"/>
        <v>7.4888320000000004</v>
      </c>
      <c r="G13" s="338"/>
      <c r="H13" s="338">
        <v>72008</v>
      </c>
      <c r="K13" s="389">
        <v>0</v>
      </c>
      <c r="O13" s="390">
        <v>7239</v>
      </c>
      <c r="P13">
        <v>7239</v>
      </c>
      <c r="Q13" s="384">
        <v>7239</v>
      </c>
      <c r="R13" s="384">
        <v>7239</v>
      </c>
      <c r="S13">
        <v>7239</v>
      </c>
    </row>
    <row r="14" spans="1:19" ht="24.75" customHeight="1">
      <c r="A14" s="158" t="s">
        <v>162</v>
      </c>
      <c r="B14" s="159">
        <f>19069/100</f>
        <v>190.69</v>
      </c>
      <c r="C14" s="393">
        <f>3320/100</f>
        <v>33.200000000000003</v>
      </c>
      <c r="D14" s="159">
        <f>1783/10</f>
        <v>178.3</v>
      </c>
      <c r="E14" s="375">
        <f t="shared" si="0"/>
        <v>53.704819277108427</v>
      </c>
      <c r="F14" s="162">
        <f t="shared" si="1"/>
        <v>8.2747600000000006</v>
      </c>
      <c r="G14" s="338"/>
      <c r="H14" s="338">
        <v>79565</v>
      </c>
      <c r="K14" s="389">
        <v>1782.6</v>
      </c>
      <c r="M14">
        <v>3320</v>
      </c>
      <c r="O14" s="390">
        <v>19069</v>
      </c>
      <c r="P14">
        <v>19069</v>
      </c>
      <c r="Q14" s="384">
        <v>19051</v>
      </c>
      <c r="R14" s="384">
        <v>18935</v>
      </c>
      <c r="S14">
        <v>18887</v>
      </c>
    </row>
    <row r="15" spans="1:19" ht="24.75" customHeight="1">
      <c r="A15" s="158" t="s">
        <v>163</v>
      </c>
      <c r="B15" s="159">
        <f>9987/100</f>
        <v>99.87</v>
      </c>
      <c r="C15" s="393">
        <f>9987/100</f>
        <v>99.87</v>
      </c>
      <c r="D15" s="159">
        <f>19956/10</f>
        <v>1995.6</v>
      </c>
      <c r="E15" s="375">
        <f t="shared" si="0"/>
        <v>199.81976569540402</v>
      </c>
      <c r="F15" s="162">
        <f t="shared" si="1"/>
        <v>16.951688000000001</v>
      </c>
      <c r="G15" s="338"/>
      <c r="H15" s="338">
        <v>162997</v>
      </c>
      <c r="K15" s="389">
        <v>19956</v>
      </c>
      <c r="M15">
        <v>9987</v>
      </c>
      <c r="O15" s="390">
        <v>9987</v>
      </c>
      <c r="P15">
        <v>9987</v>
      </c>
      <c r="Q15" s="384">
        <v>9987</v>
      </c>
      <c r="R15" s="384">
        <v>9970</v>
      </c>
      <c r="S15">
        <v>9970</v>
      </c>
    </row>
    <row r="16" spans="1:19" ht="24.75" customHeight="1">
      <c r="A16" s="158" t="s">
        <v>164</v>
      </c>
      <c r="B16" s="159">
        <f>44910/100</f>
        <v>449.1</v>
      </c>
      <c r="C16" s="393">
        <f>43720/100</f>
        <v>437.2</v>
      </c>
      <c r="D16" s="159">
        <f>6370/10</f>
        <v>637</v>
      </c>
      <c r="E16" s="375">
        <f t="shared" si="0"/>
        <v>14.569990850869168</v>
      </c>
      <c r="F16" s="162">
        <f t="shared" si="1"/>
        <v>15.270736000000001</v>
      </c>
      <c r="G16" s="338"/>
      <c r="H16" s="338">
        <v>146834</v>
      </c>
      <c r="K16" s="389">
        <v>6370</v>
      </c>
      <c r="M16">
        <v>43720</v>
      </c>
      <c r="O16" s="390">
        <v>44910</v>
      </c>
      <c r="P16">
        <v>44910</v>
      </c>
      <c r="Q16" s="384">
        <v>44870</v>
      </c>
      <c r="R16" s="384">
        <v>44900</v>
      </c>
      <c r="S16">
        <v>44710</v>
      </c>
    </row>
    <row r="17" spans="1:19" ht="24.75" customHeight="1">
      <c r="A17" s="158" t="s">
        <v>165</v>
      </c>
      <c r="B17" s="159">
        <f>93911/100</f>
        <v>939.11</v>
      </c>
      <c r="C17" s="393">
        <f>6877/100</f>
        <v>68.77</v>
      </c>
      <c r="D17" s="159">
        <f>9209/10</f>
        <v>920.9</v>
      </c>
      <c r="E17" s="375">
        <f t="shared" si="0"/>
        <v>133.91013523338665</v>
      </c>
      <c r="F17" s="162">
        <f t="shared" si="1"/>
        <v>13.782080000000001</v>
      </c>
      <c r="G17" s="338"/>
      <c r="H17" s="338">
        <v>132520</v>
      </c>
      <c r="K17" s="389">
        <v>9209</v>
      </c>
      <c r="M17">
        <v>6877</v>
      </c>
      <c r="O17" s="390">
        <v>93911</v>
      </c>
      <c r="P17" s="384">
        <v>93911</v>
      </c>
      <c r="Q17">
        <v>93725</v>
      </c>
      <c r="R17" s="384">
        <v>93471</v>
      </c>
      <c r="S17">
        <v>93174</v>
      </c>
    </row>
    <row r="18" spans="1:19" ht="24.75" customHeight="1">
      <c r="A18" s="158" t="s">
        <v>166</v>
      </c>
      <c r="B18" s="159">
        <f>46891/100</f>
        <v>468.91</v>
      </c>
      <c r="C18" s="393">
        <f>8175/100</f>
        <v>81.75</v>
      </c>
      <c r="D18" s="159">
        <f>7058/10</f>
        <v>705.8</v>
      </c>
      <c r="E18" s="375">
        <f t="shared" si="0"/>
        <v>86.336391437308862</v>
      </c>
      <c r="F18" s="162">
        <f t="shared" si="1"/>
        <v>14.915888000000001</v>
      </c>
      <c r="G18" s="338"/>
      <c r="H18" s="338">
        <v>143422</v>
      </c>
      <c r="K18" s="389">
        <v>7058</v>
      </c>
      <c r="M18">
        <v>8175</v>
      </c>
      <c r="O18" s="390">
        <v>46891</v>
      </c>
      <c r="P18" s="384">
        <v>46891</v>
      </c>
      <c r="Q18">
        <v>45718</v>
      </c>
      <c r="R18" s="384">
        <v>45700</v>
      </c>
      <c r="S18">
        <v>45608</v>
      </c>
    </row>
    <row r="19" spans="1:19" ht="24.75" customHeight="1">
      <c r="A19" s="158" t="s">
        <v>167</v>
      </c>
      <c r="B19" s="159">
        <f>5874/100</f>
        <v>58.74</v>
      </c>
      <c r="C19" s="393">
        <f>2074/100</f>
        <v>20.74</v>
      </c>
      <c r="D19" s="159">
        <f>1306.3/10</f>
        <v>130.63</v>
      </c>
      <c r="E19" s="375">
        <f t="shared" si="0"/>
        <v>62.98457087753134</v>
      </c>
      <c r="F19" s="162">
        <f t="shared" si="1"/>
        <v>11.306256000000001</v>
      </c>
      <c r="G19" s="338"/>
      <c r="H19" s="338">
        <v>108714</v>
      </c>
      <c r="K19" s="389">
        <v>1306.3</v>
      </c>
      <c r="M19">
        <v>2074</v>
      </c>
      <c r="O19" s="390">
        <v>5874</v>
      </c>
      <c r="P19" s="384">
        <v>5800</v>
      </c>
      <c r="Q19">
        <v>5850</v>
      </c>
      <c r="R19" s="384">
        <v>5850</v>
      </c>
      <c r="S19">
        <v>5874</v>
      </c>
    </row>
    <row r="20" spans="1:19" ht="24.75" customHeight="1">
      <c r="A20" s="158" t="s">
        <v>168</v>
      </c>
      <c r="B20" s="159">
        <f>4326/100</f>
        <v>43.26</v>
      </c>
      <c r="C20" s="393">
        <f>3245/100</f>
        <v>32.450000000000003</v>
      </c>
      <c r="D20" s="159">
        <f>9863/10</f>
        <v>986.3</v>
      </c>
      <c r="E20" s="375">
        <f t="shared" si="0"/>
        <v>303.94453004622494</v>
      </c>
      <c r="F20" s="162">
        <f t="shared" si="1"/>
        <v>7.2683520000000001</v>
      </c>
      <c r="G20" s="338"/>
      <c r="H20" s="338">
        <v>69888</v>
      </c>
      <c r="K20" s="389">
        <v>9863</v>
      </c>
      <c r="M20">
        <v>3245</v>
      </c>
      <c r="O20" s="390">
        <v>4326</v>
      </c>
      <c r="P20" s="384">
        <v>4326</v>
      </c>
      <c r="Q20">
        <v>3028</v>
      </c>
      <c r="R20" s="384">
        <v>2120</v>
      </c>
      <c r="S20">
        <v>1484</v>
      </c>
    </row>
    <row r="21" spans="1:19" ht="24.75" customHeight="1">
      <c r="A21" s="158" t="s">
        <v>169</v>
      </c>
      <c r="B21" s="159">
        <f>23363/100</f>
        <v>233.63</v>
      </c>
      <c r="C21" s="393">
        <f>1673/100</f>
        <v>16.73</v>
      </c>
      <c r="D21" s="159">
        <f>402/10</f>
        <v>40.200000000000003</v>
      </c>
      <c r="E21" s="375">
        <f t="shared" si="0"/>
        <v>24.028690974297668</v>
      </c>
      <c r="F21" s="162">
        <f t="shared" si="1"/>
        <v>19.400056000000003</v>
      </c>
      <c r="G21" s="338"/>
      <c r="H21" s="338">
        <v>186539</v>
      </c>
      <c r="K21" s="389">
        <v>401.59</v>
      </c>
      <c r="M21">
        <v>1673</v>
      </c>
      <c r="O21" s="390">
        <v>23363</v>
      </c>
      <c r="P21" s="384">
        <v>23337</v>
      </c>
      <c r="Q21">
        <v>23331</v>
      </c>
      <c r="R21" s="384">
        <v>23354</v>
      </c>
      <c r="S21">
        <v>23363</v>
      </c>
    </row>
    <row r="22" spans="1:19" ht="24.75" customHeight="1">
      <c r="A22" s="158" t="s">
        <v>170</v>
      </c>
      <c r="B22" s="159">
        <f>7898/100</f>
        <v>78.98</v>
      </c>
      <c r="C22" s="393">
        <f>6744/100</f>
        <v>67.44</v>
      </c>
      <c r="D22" s="159">
        <f>1602/10</f>
        <v>160.19999999999999</v>
      </c>
      <c r="E22" s="375">
        <f t="shared" si="0"/>
        <v>23.754448398576514</v>
      </c>
      <c r="F22" s="162">
        <f t="shared" si="1"/>
        <v>17.423016000000001</v>
      </c>
      <c r="G22" s="338"/>
      <c r="H22" s="338">
        <v>167529</v>
      </c>
      <c r="K22" s="389">
        <v>1601.85</v>
      </c>
      <c r="M22">
        <v>6744</v>
      </c>
      <c r="O22" s="390">
        <v>7898</v>
      </c>
      <c r="P22" s="384">
        <v>7993</v>
      </c>
      <c r="Q22">
        <v>7898</v>
      </c>
      <c r="R22" s="384">
        <v>7843</v>
      </c>
      <c r="S22">
        <v>7626</v>
      </c>
    </row>
    <row r="23" spans="1:19" ht="24.75" customHeight="1">
      <c r="A23" s="158" t="s">
        <v>171</v>
      </c>
      <c r="B23" s="159">
        <f>5447/100</f>
        <v>54.47</v>
      </c>
      <c r="C23" s="393">
        <f>3425/100</f>
        <v>34.25</v>
      </c>
      <c r="D23" s="159">
        <f>3882/10</f>
        <v>388.2</v>
      </c>
      <c r="E23" s="375">
        <f t="shared" si="0"/>
        <v>113.34306569343066</v>
      </c>
      <c r="F23" s="162">
        <f t="shared" si="1"/>
        <v>9.3721680000000003</v>
      </c>
      <c r="G23" s="338"/>
      <c r="H23" s="338">
        <v>90117</v>
      </c>
      <c r="K23" s="389">
        <v>3881.6</v>
      </c>
      <c r="M23">
        <v>3425</v>
      </c>
      <c r="O23" s="390">
        <v>5447</v>
      </c>
      <c r="P23" s="384">
        <v>5447</v>
      </c>
      <c r="Q23">
        <v>5429</v>
      </c>
      <c r="R23" s="384">
        <v>5408</v>
      </c>
      <c r="S23">
        <v>5390</v>
      </c>
    </row>
    <row r="24" spans="1:19" ht="24.75" customHeight="1">
      <c r="A24" s="158" t="s">
        <v>172</v>
      </c>
      <c r="B24" s="159">
        <f>985/100</f>
        <v>9.85</v>
      </c>
      <c r="C24" s="393">
        <f>790/100</f>
        <v>7.9</v>
      </c>
      <c r="D24" s="159">
        <f>578/10</f>
        <v>57.8</v>
      </c>
      <c r="E24" s="375">
        <f t="shared" si="0"/>
        <v>73.164556962025316</v>
      </c>
      <c r="F24" s="162">
        <f t="shared" si="1"/>
        <v>9.1414960000000001</v>
      </c>
      <c r="G24" s="338"/>
      <c r="H24" s="338">
        <v>87899</v>
      </c>
      <c r="K24" s="389">
        <v>578</v>
      </c>
      <c r="M24">
        <v>790</v>
      </c>
      <c r="O24" s="390">
        <v>985</v>
      </c>
      <c r="P24" s="384">
        <v>985</v>
      </c>
      <c r="Q24">
        <v>985</v>
      </c>
      <c r="R24" s="384">
        <v>985</v>
      </c>
      <c r="S24">
        <v>985</v>
      </c>
    </row>
    <row r="25" spans="1:19" ht="24.75" customHeight="1">
      <c r="A25" s="182" t="s">
        <v>173</v>
      </c>
      <c r="B25" s="392">
        <f>28995/100</f>
        <v>289.95</v>
      </c>
      <c r="C25" s="391">
        <f>159/100</f>
        <v>1.59</v>
      </c>
      <c r="D25" s="392">
        <f>366/10</f>
        <v>36.6</v>
      </c>
      <c r="E25" s="375">
        <f t="shared" si="0"/>
        <v>230.188679245283</v>
      </c>
      <c r="F25" s="162">
        <f t="shared" si="1"/>
        <v>19.681272</v>
      </c>
      <c r="G25" s="338"/>
      <c r="H25" s="338">
        <v>189243</v>
      </c>
      <c r="K25" s="389">
        <v>366</v>
      </c>
      <c r="M25">
        <v>159</v>
      </c>
      <c r="O25" s="390">
        <v>28995</v>
      </c>
      <c r="P25" s="384">
        <v>28995</v>
      </c>
      <c r="Q25">
        <v>28995</v>
      </c>
      <c r="R25" s="384">
        <v>28995</v>
      </c>
      <c r="S25">
        <v>28995</v>
      </c>
    </row>
    <row r="26" spans="1:19" ht="24.75" customHeight="1">
      <c r="A26" s="12">
        <v>2025</v>
      </c>
      <c r="B26" s="186">
        <f>SUM(B9:B25)</f>
        <v>3608.9999999999995</v>
      </c>
      <c r="C26" s="186">
        <f t="shared" ref="C26:F26" si="2">SUM(C9:C25)</f>
        <v>1159.99</v>
      </c>
      <c r="D26" s="186">
        <f t="shared" si="2"/>
        <v>9862.0300000000007</v>
      </c>
      <c r="E26" s="186">
        <f t="shared" si="2"/>
        <v>1946.6373437122018</v>
      </c>
      <c r="F26" s="186">
        <f t="shared" si="2"/>
        <v>212.48000799999997</v>
      </c>
      <c r="O26" s="384"/>
      <c r="P26" s="384"/>
      <c r="Q26" s="384"/>
      <c r="R26" s="384"/>
    </row>
    <row r="27" spans="1:19" ht="24.75" customHeight="1">
      <c r="A27" s="12">
        <f t="shared" ref="A27:A30" si="3">A26-1</f>
        <v>2024</v>
      </c>
      <c r="B27" s="167">
        <v>3940.1400000000003</v>
      </c>
      <c r="C27" s="167">
        <v>1518.78</v>
      </c>
      <c r="D27" s="167">
        <v>15624.120999999999</v>
      </c>
      <c r="E27" s="187">
        <v>102.87283872581941</v>
      </c>
      <c r="F27" s="188">
        <v>107.45415200000001</v>
      </c>
      <c r="O27" s="384"/>
      <c r="P27" s="384"/>
      <c r="Q27" s="384"/>
      <c r="R27" s="384"/>
    </row>
    <row r="28" spans="1:19" ht="24.75" customHeight="1">
      <c r="A28" s="12">
        <f t="shared" si="3"/>
        <v>2023</v>
      </c>
      <c r="B28" s="169">
        <v>4057.83</v>
      </c>
      <c r="C28" s="169">
        <v>1584.22</v>
      </c>
      <c r="D28" s="169">
        <v>14940.966000000002</v>
      </c>
      <c r="E28" s="170">
        <v>94.311181527818121</v>
      </c>
      <c r="F28" s="171">
        <v>228.10409305293311</v>
      </c>
      <c r="O28" s="384"/>
      <c r="P28" s="384"/>
      <c r="Q28" s="384"/>
      <c r="R28" s="384"/>
    </row>
    <row r="29" spans="1:19" ht="24.75" customHeight="1">
      <c r="A29" s="12">
        <f t="shared" si="3"/>
        <v>2022</v>
      </c>
      <c r="B29" s="169">
        <v>4104.5</v>
      </c>
      <c r="C29" s="169">
        <v>1505.94</v>
      </c>
      <c r="D29" s="169">
        <v>15131.567999999999</v>
      </c>
      <c r="E29" s="170">
        <v>100.47922227977209</v>
      </c>
      <c r="F29" s="171">
        <v>1010.9550669524812</v>
      </c>
      <c r="O29" s="384"/>
      <c r="P29" s="384"/>
      <c r="Q29" s="384"/>
      <c r="R29" s="384"/>
    </row>
    <row r="30" spans="1:19" ht="24.75" customHeight="1">
      <c r="A30" s="12">
        <f t="shared" si="3"/>
        <v>2021</v>
      </c>
      <c r="B30" s="169">
        <v>4164.4399999999996</v>
      </c>
      <c r="C30" s="169">
        <v>1717.85</v>
      </c>
      <c r="D30" s="169">
        <v>16435.399999999998</v>
      </c>
      <c r="E30" s="170">
        <v>95.674243967750371</v>
      </c>
      <c r="F30" s="171">
        <v>1002.1424944500001</v>
      </c>
      <c r="O30" s="384"/>
      <c r="P30" s="384"/>
      <c r="Q30" s="384"/>
      <c r="R30" s="384"/>
    </row>
    <row r="31" spans="1:19" ht="14.25" customHeight="1">
      <c r="A31" s="172"/>
      <c r="B31" s="169"/>
      <c r="C31" s="169"/>
      <c r="D31" s="169"/>
      <c r="E31" s="170"/>
      <c r="F31" s="171"/>
      <c r="O31" s="384"/>
      <c r="P31" s="384"/>
      <c r="Q31" s="384"/>
      <c r="R31" s="384"/>
    </row>
    <row r="32" spans="1:19" ht="14.25" customHeight="1">
      <c r="A32" s="158"/>
      <c r="B32" s="159"/>
      <c r="C32" s="159"/>
      <c r="D32" s="159"/>
      <c r="E32" s="161"/>
      <c r="F32" s="181"/>
      <c r="O32" s="384"/>
      <c r="P32" s="384"/>
      <c r="Q32" s="384"/>
      <c r="R32" s="384"/>
    </row>
    <row r="33" spans="1:6" ht="14.25" customHeight="1" thickBot="1">
      <c r="A33" s="173"/>
      <c r="B33" s="174"/>
      <c r="C33" s="174"/>
      <c r="D33" s="174"/>
      <c r="E33" s="176"/>
      <c r="F33" s="177"/>
    </row>
    <row r="34" spans="1:6" ht="14.25" customHeight="1" thickTop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R1000"/>
  <sheetViews>
    <sheetView topLeftCell="A16" workbookViewId="0">
      <selection activeCell="B26" sqref="B26:F26"/>
    </sheetView>
  </sheetViews>
  <sheetFormatPr defaultColWidth="14.42578125" defaultRowHeight="15" customHeight="1"/>
  <cols>
    <col min="1" max="1" width="25.85546875" customWidth="1"/>
    <col min="2" max="12" width="8.7109375" customWidth="1"/>
    <col min="13" max="14" width="10.140625" customWidth="1"/>
    <col min="15" max="26" width="8.7109375" customWidth="1"/>
  </cols>
  <sheetData>
    <row r="1" spans="1:18" ht="14.25" customHeight="1">
      <c r="A1" s="429" t="s">
        <v>231</v>
      </c>
      <c r="B1" s="423"/>
      <c r="C1" s="423"/>
      <c r="D1" s="423"/>
      <c r="E1" s="423"/>
      <c r="F1" s="423"/>
    </row>
    <row r="2" spans="1:18" ht="14.25" customHeight="1">
      <c r="A2" s="429" t="s">
        <v>232</v>
      </c>
      <c r="B2" s="423"/>
      <c r="C2" s="423"/>
      <c r="D2" s="423"/>
      <c r="E2" s="423"/>
      <c r="F2" s="423"/>
    </row>
    <row r="3" spans="1:18" ht="14.25" customHeight="1">
      <c r="A3" s="429" t="s">
        <v>102</v>
      </c>
      <c r="B3" s="423"/>
      <c r="C3" s="423"/>
      <c r="D3" s="423"/>
      <c r="E3" s="423"/>
      <c r="F3" s="423"/>
    </row>
    <row r="4" spans="1:18" ht="14.25" customHeight="1">
      <c r="A4" s="137"/>
      <c r="B4" s="141"/>
      <c r="C4" s="122"/>
      <c r="D4" s="122"/>
      <c r="E4" s="123"/>
      <c r="F4" s="122"/>
    </row>
    <row r="5" spans="1:18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8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8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8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81">
        <f>I8/1000</f>
        <v>8.320000000000001E-3</v>
      </c>
      <c r="I8">
        <f>J8*52</f>
        <v>8.32</v>
      </c>
      <c r="J8" s="378">
        <v>0.16</v>
      </c>
      <c r="K8" s="394" t="s">
        <v>262</v>
      </c>
      <c r="M8" s="394" t="s">
        <v>260</v>
      </c>
      <c r="N8" s="394" t="s">
        <v>263</v>
      </c>
      <c r="O8" s="397" t="s">
        <v>264</v>
      </c>
      <c r="P8" s="403" t="s">
        <v>265</v>
      </c>
      <c r="Q8" s="403" t="s">
        <v>266</v>
      </c>
      <c r="R8" s="403" t="s">
        <v>267</v>
      </c>
    </row>
    <row r="9" spans="1:18" ht="24.75" customHeight="1">
      <c r="A9" s="158" t="s">
        <v>157</v>
      </c>
      <c r="B9" s="159">
        <f>9550/100</f>
        <v>95.5</v>
      </c>
      <c r="C9" s="160">
        <f>5550/100</f>
        <v>55.5</v>
      </c>
      <c r="D9" s="159">
        <f>1995/10</f>
        <v>199.5</v>
      </c>
      <c r="E9" s="375">
        <f t="shared" ref="E9:E17" si="0">(D9*10)/C9</f>
        <v>35.945945945945944</v>
      </c>
      <c r="F9" s="162">
        <f>$H$8*H9</f>
        <v>541.50720000000001</v>
      </c>
      <c r="G9" s="338"/>
      <c r="H9" s="338">
        <v>65085</v>
      </c>
      <c r="K9">
        <v>1995</v>
      </c>
      <c r="M9">
        <v>5550</v>
      </c>
      <c r="N9" s="390">
        <v>9550</v>
      </c>
      <c r="O9">
        <v>9550</v>
      </c>
      <c r="P9">
        <v>9550</v>
      </c>
      <c r="Q9">
        <v>9550</v>
      </c>
      <c r="R9">
        <v>9550</v>
      </c>
    </row>
    <row r="10" spans="1:18" ht="24.75" customHeight="1">
      <c r="A10" s="158" t="s">
        <v>158</v>
      </c>
      <c r="B10" s="159">
        <f>1100/100</f>
        <v>11</v>
      </c>
      <c r="C10" s="159">
        <v>0</v>
      </c>
      <c r="D10" s="159">
        <v>0</v>
      </c>
      <c r="E10" s="159">
        <v>0</v>
      </c>
      <c r="F10" s="162">
        <f t="shared" ref="F10:F25" si="1">$H$8*H10</f>
        <v>890.43136000000015</v>
      </c>
      <c r="G10" s="338"/>
      <c r="H10" s="338">
        <v>107023</v>
      </c>
      <c r="K10">
        <v>0</v>
      </c>
      <c r="N10" s="390">
        <v>1100</v>
      </c>
      <c r="O10">
        <v>1100</v>
      </c>
      <c r="P10">
        <v>1100</v>
      </c>
      <c r="Q10">
        <v>1100</v>
      </c>
      <c r="R10">
        <v>1104</v>
      </c>
    </row>
    <row r="11" spans="1:18" ht="24.75" customHeight="1">
      <c r="A11" s="158" t="s">
        <v>159</v>
      </c>
      <c r="B11" s="159">
        <f>2161/100</f>
        <v>21.61</v>
      </c>
      <c r="C11" s="160">
        <f>1206/100</f>
        <v>12.06</v>
      </c>
      <c r="D11" s="159">
        <f>1189/10</f>
        <v>118.9</v>
      </c>
      <c r="E11" s="375">
        <f t="shared" si="0"/>
        <v>98.590381426202313</v>
      </c>
      <c r="F11" s="162">
        <f t="shared" si="1"/>
        <v>975.0873600000001</v>
      </c>
      <c r="G11" s="338"/>
      <c r="H11" s="338">
        <v>117198</v>
      </c>
      <c r="K11">
        <v>1189</v>
      </c>
      <c r="M11">
        <v>1206</v>
      </c>
      <c r="N11" s="390">
        <v>2161</v>
      </c>
      <c r="O11">
        <v>2161</v>
      </c>
      <c r="P11">
        <v>2154</v>
      </c>
      <c r="Q11">
        <v>2154</v>
      </c>
      <c r="R11">
        <v>2149</v>
      </c>
    </row>
    <row r="12" spans="1:18" ht="24.75" customHeight="1">
      <c r="A12" s="158" t="s">
        <v>160</v>
      </c>
      <c r="B12" s="159">
        <f>8407/100</f>
        <v>84.07</v>
      </c>
      <c r="C12" s="160">
        <f>1374/100</f>
        <v>13.74</v>
      </c>
      <c r="D12" s="159">
        <f>608/10</f>
        <v>60.8</v>
      </c>
      <c r="E12" s="375">
        <f t="shared" si="0"/>
        <v>44.250363901018922</v>
      </c>
      <c r="F12" s="162">
        <f t="shared" si="1"/>
        <v>969.2467200000001</v>
      </c>
      <c r="G12" s="338"/>
      <c r="H12" s="338">
        <v>116496</v>
      </c>
      <c r="K12">
        <v>608</v>
      </c>
      <c r="M12">
        <v>1374</v>
      </c>
      <c r="N12" s="390">
        <v>8407</v>
      </c>
      <c r="O12">
        <v>8407</v>
      </c>
      <c r="P12">
        <v>8344</v>
      </c>
      <c r="Q12">
        <v>8282</v>
      </c>
      <c r="R12">
        <v>8265</v>
      </c>
    </row>
    <row r="13" spans="1:18" ht="24.75" customHeight="1">
      <c r="A13" s="158" t="s">
        <v>161</v>
      </c>
      <c r="B13" s="159">
        <f>3695/100</f>
        <v>36.950000000000003</v>
      </c>
      <c r="C13" s="160">
        <f>760/100</f>
        <v>7.6</v>
      </c>
      <c r="D13" s="159">
        <f>1140/10</f>
        <v>114</v>
      </c>
      <c r="E13" s="375">
        <f t="shared" si="0"/>
        <v>150</v>
      </c>
      <c r="F13" s="162">
        <f t="shared" si="1"/>
        <v>599.10656000000006</v>
      </c>
      <c r="G13" s="338"/>
      <c r="H13" s="338">
        <v>72008</v>
      </c>
      <c r="K13">
        <v>1140</v>
      </c>
      <c r="M13">
        <v>760</v>
      </c>
      <c r="N13" s="390">
        <v>3695</v>
      </c>
      <c r="O13">
        <v>3695</v>
      </c>
      <c r="P13">
        <v>3680</v>
      </c>
      <c r="Q13">
        <v>3680</v>
      </c>
      <c r="R13">
        <v>3665</v>
      </c>
    </row>
    <row r="14" spans="1:18" ht="24.75" customHeight="1">
      <c r="A14" s="158" t="s">
        <v>162</v>
      </c>
      <c r="B14" s="159">
        <f>6576/100</f>
        <v>65.760000000000005</v>
      </c>
      <c r="C14" s="160">
        <f>135/100</f>
        <v>1.35</v>
      </c>
      <c r="D14" s="159">
        <f>67.5/10</f>
        <v>6.75</v>
      </c>
      <c r="E14" s="375">
        <f t="shared" si="0"/>
        <v>50</v>
      </c>
      <c r="F14" s="162">
        <f t="shared" si="1"/>
        <v>661.98080000000004</v>
      </c>
      <c r="G14" s="338"/>
      <c r="H14" s="338">
        <v>79565</v>
      </c>
      <c r="K14">
        <v>67.5</v>
      </c>
      <c r="M14">
        <v>135</v>
      </c>
      <c r="N14" s="390">
        <v>6576</v>
      </c>
      <c r="O14">
        <v>6576</v>
      </c>
      <c r="P14">
        <v>6556</v>
      </c>
      <c r="Q14">
        <v>6556</v>
      </c>
      <c r="R14">
        <v>6544</v>
      </c>
    </row>
    <row r="15" spans="1:18" ht="24.75" customHeight="1">
      <c r="A15" s="158" t="s">
        <v>163</v>
      </c>
      <c r="B15" s="159">
        <v>0</v>
      </c>
      <c r="C15" s="159">
        <v>0</v>
      </c>
      <c r="D15" s="159">
        <v>0</v>
      </c>
      <c r="E15" s="159">
        <v>0</v>
      </c>
      <c r="F15" s="162">
        <f t="shared" si="1"/>
        <v>1356.1350400000001</v>
      </c>
      <c r="G15" s="338"/>
      <c r="H15" s="338">
        <v>162997</v>
      </c>
      <c r="K15">
        <v>0</v>
      </c>
    </row>
    <row r="16" spans="1:18" ht="24.75" customHeight="1">
      <c r="A16" s="158" t="s">
        <v>164</v>
      </c>
      <c r="B16" s="159">
        <f>190/100</f>
        <v>1.9</v>
      </c>
      <c r="C16" s="160">
        <f>140/100</f>
        <v>1.4</v>
      </c>
      <c r="D16" s="159">
        <f>145/10</f>
        <v>14.5</v>
      </c>
      <c r="E16" s="375">
        <f t="shared" si="0"/>
        <v>103.57142857142858</v>
      </c>
      <c r="F16" s="162">
        <f t="shared" si="1"/>
        <v>1221.6588800000002</v>
      </c>
      <c r="G16" s="338"/>
      <c r="H16" s="338">
        <v>146834</v>
      </c>
      <c r="K16">
        <v>145</v>
      </c>
      <c r="M16">
        <v>140</v>
      </c>
      <c r="N16" s="390">
        <v>190</v>
      </c>
      <c r="O16">
        <v>190</v>
      </c>
      <c r="P16">
        <v>180</v>
      </c>
      <c r="Q16">
        <v>160</v>
      </c>
      <c r="R16">
        <v>150</v>
      </c>
    </row>
    <row r="17" spans="1:18" ht="24.75" customHeight="1">
      <c r="A17" s="158" t="s">
        <v>165</v>
      </c>
      <c r="B17" s="159">
        <f>6331/100</f>
        <v>63.31</v>
      </c>
      <c r="C17" s="160">
        <f>530/100</f>
        <v>5.3</v>
      </c>
      <c r="D17" s="159">
        <f>169/10</f>
        <v>16.899999999999999</v>
      </c>
      <c r="E17" s="375">
        <f t="shared" si="0"/>
        <v>31.886792452830189</v>
      </c>
      <c r="F17" s="162">
        <f t="shared" si="1"/>
        <v>1102.5664000000002</v>
      </c>
      <c r="G17" s="338"/>
      <c r="H17" s="338">
        <v>132520</v>
      </c>
      <c r="K17">
        <v>169</v>
      </c>
      <c r="M17">
        <v>530</v>
      </c>
      <c r="N17" s="390">
        <v>6331</v>
      </c>
      <c r="O17">
        <v>6331</v>
      </c>
      <c r="P17">
        <v>6089</v>
      </c>
      <c r="Q17">
        <v>5894</v>
      </c>
      <c r="R17">
        <v>5679</v>
      </c>
    </row>
    <row r="18" spans="1:18" ht="24.75" customHeight="1">
      <c r="A18" s="158" t="s">
        <v>166</v>
      </c>
      <c r="B18" s="159">
        <v>0</v>
      </c>
      <c r="C18" s="159">
        <v>0</v>
      </c>
      <c r="D18" s="159">
        <v>0</v>
      </c>
      <c r="E18" s="159">
        <v>0</v>
      </c>
      <c r="F18" s="162">
        <f t="shared" si="1"/>
        <v>1193.2710400000001</v>
      </c>
      <c r="G18" s="338"/>
      <c r="H18" s="338">
        <v>143422</v>
      </c>
      <c r="K18">
        <v>0</v>
      </c>
    </row>
    <row r="19" spans="1:18" ht="24.75" customHeight="1">
      <c r="A19" s="158" t="s">
        <v>167</v>
      </c>
      <c r="B19" s="159">
        <v>0</v>
      </c>
      <c r="C19" s="159">
        <v>0</v>
      </c>
      <c r="D19" s="159">
        <v>0</v>
      </c>
      <c r="E19" s="159">
        <v>0</v>
      </c>
      <c r="F19" s="162">
        <f t="shared" si="1"/>
        <v>904.50048000000015</v>
      </c>
      <c r="G19" s="338"/>
      <c r="H19" s="338">
        <v>108714</v>
      </c>
      <c r="K19">
        <v>0</v>
      </c>
    </row>
    <row r="20" spans="1:18" ht="24.75" customHeight="1">
      <c r="A20" s="158" t="s">
        <v>168</v>
      </c>
      <c r="B20" s="159">
        <v>0</v>
      </c>
      <c r="C20" s="159">
        <v>0</v>
      </c>
      <c r="D20" s="159">
        <v>0</v>
      </c>
      <c r="E20" s="159">
        <v>0</v>
      </c>
      <c r="F20" s="162">
        <f t="shared" si="1"/>
        <v>581.46816000000013</v>
      </c>
      <c r="G20" s="338"/>
      <c r="H20" s="338">
        <v>69888</v>
      </c>
      <c r="K20">
        <v>0</v>
      </c>
    </row>
    <row r="21" spans="1:18" ht="24.75" customHeight="1">
      <c r="A21" s="158" t="s">
        <v>169</v>
      </c>
      <c r="B21" s="159">
        <v>0</v>
      </c>
      <c r="C21" s="159">
        <v>0</v>
      </c>
      <c r="D21" s="159">
        <v>0</v>
      </c>
      <c r="E21" s="159">
        <v>0</v>
      </c>
      <c r="F21" s="162">
        <f t="shared" si="1"/>
        <v>1552.0044800000003</v>
      </c>
      <c r="G21" s="338"/>
      <c r="H21" s="338">
        <v>186539</v>
      </c>
      <c r="K21">
        <v>0</v>
      </c>
    </row>
    <row r="22" spans="1:18" ht="24.75" customHeight="1">
      <c r="A22" s="158" t="s">
        <v>170</v>
      </c>
      <c r="B22" s="159">
        <v>0</v>
      </c>
      <c r="C22" s="159">
        <v>0</v>
      </c>
      <c r="D22" s="159">
        <v>0</v>
      </c>
      <c r="E22" s="159">
        <v>0</v>
      </c>
      <c r="F22" s="162">
        <f t="shared" si="1"/>
        <v>1393.8412800000001</v>
      </c>
      <c r="G22" s="338"/>
      <c r="H22" s="338">
        <v>167529</v>
      </c>
      <c r="K22">
        <v>0</v>
      </c>
    </row>
    <row r="23" spans="1:18" ht="24.75" customHeight="1">
      <c r="A23" s="158" t="s">
        <v>171</v>
      </c>
      <c r="B23" s="159">
        <f>6/100</f>
        <v>0.06</v>
      </c>
      <c r="C23" s="159">
        <v>0</v>
      </c>
      <c r="D23" s="159">
        <v>0</v>
      </c>
      <c r="E23" s="159">
        <v>0</v>
      </c>
      <c r="F23" s="162">
        <f t="shared" si="1"/>
        <v>749.77344000000005</v>
      </c>
      <c r="G23" s="338"/>
      <c r="H23" s="338">
        <v>90117</v>
      </c>
      <c r="K23">
        <v>0</v>
      </c>
      <c r="N23" s="390">
        <v>6</v>
      </c>
      <c r="O23">
        <v>6</v>
      </c>
      <c r="P23">
        <v>6</v>
      </c>
      <c r="Q23">
        <v>6</v>
      </c>
      <c r="R23">
        <v>6</v>
      </c>
    </row>
    <row r="24" spans="1:18" ht="24.75" customHeight="1">
      <c r="A24" s="158" t="s">
        <v>172</v>
      </c>
      <c r="B24" s="159">
        <f>51/100</f>
        <v>0.51</v>
      </c>
      <c r="C24" s="159">
        <v>0</v>
      </c>
      <c r="D24" s="159">
        <f>39/10</f>
        <v>3.9</v>
      </c>
      <c r="E24" s="183">
        <v>0</v>
      </c>
      <c r="F24" s="162">
        <f t="shared" si="1"/>
        <v>731.31968000000006</v>
      </c>
      <c r="G24" s="338"/>
      <c r="H24" s="338">
        <v>87899</v>
      </c>
      <c r="K24">
        <v>39</v>
      </c>
      <c r="N24" s="390">
        <v>51</v>
      </c>
      <c r="O24">
        <v>51</v>
      </c>
      <c r="P24">
        <v>51</v>
      </c>
      <c r="Q24">
        <v>51</v>
      </c>
      <c r="R24">
        <v>51</v>
      </c>
    </row>
    <row r="25" spans="1:18" ht="24.75" customHeight="1">
      <c r="A25" s="182" t="s">
        <v>173</v>
      </c>
      <c r="B25" s="183">
        <v>0</v>
      </c>
      <c r="C25" s="183">
        <v>0</v>
      </c>
      <c r="D25" s="183">
        <v>0</v>
      </c>
      <c r="E25" s="183">
        <v>0</v>
      </c>
      <c r="F25" s="162">
        <f t="shared" si="1"/>
        <v>1574.5017600000001</v>
      </c>
      <c r="G25" s="338"/>
      <c r="H25" s="338">
        <v>189243</v>
      </c>
      <c r="K25">
        <v>0</v>
      </c>
    </row>
    <row r="26" spans="1:18" ht="24.75" customHeight="1">
      <c r="A26" s="12">
        <v>2025</v>
      </c>
      <c r="B26" s="186">
        <f>SUM(B9:B25)</f>
        <v>380.66999999999996</v>
      </c>
      <c r="C26" s="186">
        <f>SUM(C9:C25)</f>
        <v>96.949999999999989</v>
      </c>
      <c r="D26" s="186">
        <f>SUM(D9:D25)</f>
        <v>535.25</v>
      </c>
      <c r="E26" s="186">
        <f>SUM(E9:E25)</f>
        <v>514.24491229742591</v>
      </c>
      <c r="F26" s="186">
        <f>SUM(F9:F25)</f>
        <v>16998.400640000003</v>
      </c>
    </row>
    <row r="27" spans="1:18" ht="24.75" customHeight="1">
      <c r="A27" s="12">
        <f t="shared" ref="A27:A30" si="2">A26-1</f>
        <v>2024</v>
      </c>
      <c r="B27" s="167">
        <v>386.28000000000003</v>
      </c>
      <c r="C27" s="167">
        <v>101.60000000000001</v>
      </c>
      <c r="D27" s="167">
        <v>551.57500000000005</v>
      </c>
      <c r="E27" s="187">
        <v>54.288877952755904</v>
      </c>
      <c r="F27" s="188">
        <v>9885.7819840000011</v>
      </c>
    </row>
    <row r="28" spans="1:18" ht="24.75" customHeight="1">
      <c r="A28" s="12">
        <f t="shared" si="2"/>
        <v>2023</v>
      </c>
      <c r="B28" s="169">
        <v>397.64</v>
      </c>
      <c r="C28" s="169">
        <v>122.51999999999998</v>
      </c>
      <c r="D28" s="169">
        <v>632.81500000000005</v>
      </c>
      <c r="E28" s="170">
        <v>59.352942444585132</v>
      </c>
      <c r="F28" s="171">
        <v>7430.3872390276729</v>
      </c>
    </row>
    <row r="29" spans="1:18" ht="24.75" customHeight="1">
      <c r="A29" s="12">
        <f t="shared" si="2"/>
        <v>2022</v>
      </c>
      <c r="B29" s="169">
        <v>399.36</v>
      </c>
      <c r="C29" s="169">
        <v>91.69</v>
      </c>
      <c r="D29" s="169">
        <v>510.40000000000003</v>
      </c>
      <c r="E29" s="170">
        <v>48.366273506220757</v>
      </c>
      <c r="F29" s="171">
        <v>5337.8427535091005</v>
      </c>
    </row>
    <row r="30" spans="1:18" ht="24.75" customHeight="1">
      <c r="A30" s="12">
        <f t="shared" si="2"/>
        <v>2021</v>
      </c>
      <c r="B30" s="169">
        <v>407.04</v>
      </c>
      <c r="C30" s="169">
        <v>126.63</v>
      </c>
      <c r="D30" s="169">
        <v>707.4</v>
      </c>
      <c r="E30" s="170">
        <v>55.863539445628994</v>
      </c>
      <c r="F30" s="171">
        <v>5291.3123706959996</v>
      </c>
    </row>
    <row r="31" spans="1:18" ht="14.25" customHeight="1">
      <c r="A31" s="172"/>
      <c r="B31" s="169"/>
      <c r="C31" s="169"/>
      <c r="D31" s="169"/>
      <c r="E31" s="170"/>
      <c r="F31" s="171"/>
    </row>
    <row r="32" spans="1:18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R1000"/>
  <sheetViews>
    <sheetView topLeftCell="A16" workbookViewId="0">
      <selection activeCell="B26" sqref="B26:F26"/>
    </sheetView>
  </sheetViews>
  <sheetFormatPr defaultColWidth="14.42578125" defaultRowHeight="15" customHeight="1"/>
  <cols>
    <col min="1" max="1" width="23.28515625" customWidth="1"/>
    <col min="2" max="4" width="8.7109375" customWidth="1"/>
    <col min="5" max="5" width="9.5703125" customWidth="1"/>
    <col min="6" max="12" width="8.7109375" customWidth="1"/>
    <col min="13" max="13" width="10.7109375" customWidth="1"/>
    <col min="14" max="14" width="10.42578125" customWidth="1"/>
    <col min="15" max="26" width="8.7109375" customWidth="1"/>
  </cols>
  <sheetData>
    <row r="1" spans="1:18" ht="14.25" customHeight="1">
      <c r="A1" s="429" t="s">
        <v>233</v>
      </c>
      <c r="B1" s="423"/>
      <c r="C1" s="423"/>
      <c r="D1" s="423"/>
      <c r="E1" s="423"/>
      <c r="F1" s="423"/>
    </row>
    <row r="2" spans="1:18" ht="14.25" customHeight="1">
      <c r="A2" s="429" t="s">
        <v>234</v>
      </c>
      <c r="B2" s="423"/>
      <c r="C2" s="423"/>
      <c r="D2" s="423"/>
      <c r="E2" s="423"/>
      <c r="F2" s="423"/>
    </row>
    <row r="3" spans="1:18" ht="14.25" customHeight="1">
      <c r="A3" s="429" t="s">
        <v>102</v>
      </c>
      <c r="B3" s="423"/>
      <c r="C3" s="423"/>
      <c r="D3" s="423"/>
      <c r="E3" s="423"/>
      <c r="F3" s="423"/>
    </row>
    <row r="4" spans="1:18" ht="14.25" customHeight="1">
      <c r="A4" s="137"/>
      <c r="B4" s="141"/>
      <c r="C4" s="122"/>
      <c r="D4" s="122"/>
      <c r="E4" s="123"/>
      <c r="F4" s="122"/>
    </row>
    <row r="5" spans="1:18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8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8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8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38">
        <f>I8/1000</f>
        <v>6.7599999999999995E-4</v>
      </c>
      <c r="I8">
        <f>J8*52</f>
        <v>0.67599999999999993</v>
      </c>
      <c r="J8" s="378">
        <v>1.2999999999999999E-2</v>
      </c>
      <c r="K8" s="394" t="s">
        <v>262</v>
      </c>
      <c r="M8" s="394" t="s">
        <v>260</v>
      </c>
      <c r="N8" s="394" t="s">
        <v>263</v>
      </c>
      <c r="O8" s="397" t="s">
        <v>264</v>
      </c>
      <c r="P8" s="403" t="s">
        <v>265</v>
      </c>
      <c r="Q8" s="403" t="s">
        <v>266</v>
      </c>
      <c r="R8" s="403" t="s">
        <v>267</v>
      </c>
    </row>
    <row r="9" spans="1:18" ht="24.75" customHeight="1">
      <c r="A9" s="158" t="s">
        <v>157</v>
      </c>
      <c r="B9" s="159">
        <f>18505/100</f>
        <v>185.05</v>
      </c>
      <c r="C9" s="160">
        <f>9530/100</f>
        <v>95.3</v>
      </c>
      <c r="D9" s="159">
        <f>2103/10</f>
        <v>210.3</v>
      </c>
      <c r="E9" s="375">
        <f>(D9*10)/C9</f>
        <v>22.067156348373558</v>
      </c>
      <c r="F9" s="162">
        <f>$H$8*H9</f>
        <v>43.997459999999997</v>
      </c>
      <c r="G9" s="338"/>
      <c r="H9" s="338">
        <v>65085</v>
      </c>
      <c r="K9">
        <v>2103</v>
      </c>
      <c r="M9">
        <v>9530</v>
      </c>
      <c r="N9" s="390">
        <v>18505</v>
      </c>
      <c r="O9">
        <v>18505</v>
      </c>
      <c r="P9">
        <v>18505</v>
      </c>
      <c r="Q9">
        <v>18505</v>
      </c>
      <c r="R9">
        <v>18505</v>
      </c>
    </row>
    <row r="10" spans="1:18" ht="24.75" customHeight="1">
      <c r="A10" s="158" t="s">
        <v>158</v>
      </c>
      <c r="B10" s="159">
        <f>2034/100</f>
        <v>20.34</v>
      </c>
      <c r="C10" s="160">
        <f>446/100</f>
        <v>4.46</v>
      </c>
      <c r="D10" s="159">
        <f>446/10</f>
        <v>44.6</v>
      </c>
      <c r="E10" s="375">
        <f t="shared" ref="E10:E17" si="0">(D10*10)/C10</f>
        <v>100</v>
      </c>
      <c r="F10" s="162">
        <f t="shared" ref="F10:F25" si="1">$H$8*H10</f>
        <v>72.347547999999989</v>
      </c>
      <c r="G10" s="338"/>
      <c r="H10" s="338">
        <v>107023</v>
      </c>
      <c r="K10">
        <v>446</v>
      </c>
      <c r="M10">
        <v>446</v>
      </c>
      <c r="N10" s="390">
        <v>2034</v>
      </c>
      <c r="O10">
        <v>1846</v>
      </c>
      <c r="P10">
        <v>1838</v>
      </c>
      <c r="Q10">
        <v>1834</v>
      </c>
      <c r="R10">
        <v>2034</v>
      </c>
    </row>
    <row r="11" spans="1:18" ht="24.75" customHeight="1">
      <c r="A11" s="158" t="s">
        <v>159</v>
      </c>
      <c r="B11" s="159">
        <f>2591/100</f>
        <v>25.91</v>
      </c>
      <c r="C11" s="160">
        <f>1194/100</f>
        <v>11.94</v>
      </c>
      <c r="D11" s="159">
        <f>2618.42/10</f>
        <v>261.84199999999998</v>
      </c>
      <c r="E11" s="375">
        <f t="shared" si="0"/>
        <v>219.29815745393637</v>
      </c>
      <c r="F11" s="162">
        <f t="shared" si="1"/>
        <v>79.225847999999999</v>
      </c>
      <c r="G11" s="338"/>
      <c r="H11" s="338">
        <v>117198</v>
      </c>
      <c r="K11">
        <v>2618.42</v>
      </c>
      <c r="M11">
        <v>1194</v>
      </c>
      <c r="N11" s="390">
        <v>2591</v>
      </c>
      <c r="O11">
        <v>2591</v>
      </c>
      <c r="P11">
        <v>2524</v>
      </c>
      <c r="Q11">
        <v>2367</v>
      </c>
      <c r="R11">
        <v>2304</v>
      </c>
    </row>
    <row r="12" spans="1:18" ht="24.75" customHeight="1">
      <c r="A12" s="158" t="s">
        <v>160</v>
      </c>
      <c r="B12" s="159">
        <f>12418/100</f>
        <v>124.18</v>
      </c>
      <c r="C12" s="160">
        <f>725/100</f>
        <v>7.25</v>
      </c>
      <c r="D12" s="159">
        <f>330/10</f>
        <v>33</v>
      </c>
      <c r="E12" s="375">
        <f t="shared" si="0"/>
        <v>45.517241379310342</v>
      </c>
      <c r="F12" s="162">
        <f t="shared" si="1"/>
        <v>78.751295999999996</v>
      </c>
      <c r="G12" s="338"/>
      <c r="H12" s="338">
        <v>116496</v>
      </c>
      <c r="K12">
        <v>330</v>
      </c>
      <c r="M12">
        <v>725</v>
      </c>
      <c r="N12" s="390">
        <v>12418</v>
      </c>
      <c r="O12">
        <v>12438</v>
      </c>
      <c r="P12">
        <v>12418</v>
      </c>
      <c r="Q12">
        <v>12404</v>
      </c>
      <c r="R12">
        <v>12383</v>
      </c>
    </row>
    <row r="13" spans="1:18" ht="24.75" customHeight="1">
      <c r="A13" s="158" t="s">
        <v>161</v>
      </c>
      <c r="B13" s="159">
        <f>6152/100</f>
        <v>61.52</v>
      </c>
      <c r="C13" s="160">
        <f>1613/10</f>
        <v>161.30000000000001</v>
      </c>
      <c r="D13" s="159">
        <f>1860/10</f>
        <v>186</v>
      </c>
      <c r="E13" s="375">
        <f t="shared" si="0"/>
        <v>11.531308121512708</v>
      </c>
      <c r="F13" s="162">
        <f t="shared" si="1"/>
        <v>48.677408</v>
      </c>
      <c r="G13" s="338"/>
      <c r="H13" s="338">
        <v>72008</v>
      </c>
      <c r="K13">
        <v>1860</v>
      </c>
      <c r="M13">
        <v>1613</v>
      </c>
      <c r="N13" s="390">
        <v>6152</v>
      </c>
      <c r="O13">
        <v>5302</v>
      </c>
      <c r="P13">
        <v>5302</v>
      </c>
      <c r="Q13">
        <v>5302</v>
      </c>
      <c r="R13">
        <v>6152</v>
      </c>
    </row>
    <row r="14" spans="1:18" ht="24.75" customHeight="1">
      <c r="A14" s="158" t="s">
        <v>162</v>
      </c>
      <c r="B14" s="159">
        <f>21748/100</f>
        <v>217.48</v>
      </c>
      <c r="C14" s="160">
        <f>520/10</f>
        <v>52</v>
      </c>
      <c r="D14" s="159">
        <f>223.2/10</f>
        <v>22.32</v>
      </c>
      <c r="E14" s="375">
        <f t="shared" si="0"/>
        <v>4.2923076923076922</v>
      </c>
      <c r="F14" s="162">
        <f t="shared" si="1"/>
        <v>53.785939999999997</v>
      </c>
      <c r="G14" s="338"/>
      <c r="H14" s="338">
        <v>79565</v>
      </c>
      <c r="K14">
        <v>223.2</v>
      </c>
      <c r="M14">
        <v>520</v>
      </c>
      <c r="N14" s="390">
        <v>21748</v>
      </c>
      <c r="O14">
        <v>21748</v>
      </c>
      <c r="P14">
        <v>21664</v>
      </c>
      <c r="Q14">
        <v>21648</v>
      </c>
      <c r="R14">
        <v>21593</v>
      </c>
    </row>
    <row r="15" spans="1:18" ht="24.75" customHeight="1">
      <c r="A15" s="158" t="s">
        <v>163</v>
      </c>
      <c r="B15" s="159">
        <v>0</v>
      </c>
      <c r="C15" s="159">
        <v>0</v>
      </c>
      <c r="D15" s="159">
        <v>0</v>
      </c>
      <c r="E15" s="159">
        <v>0</v>
      </c>
      <c r="F15" s="162">
        <f t="shared" si="1"/>
        <v>110.18597199999999</v>
      </c>
      <c r="G15" s="338"/>
      <c r="H15" s="338">
        <v>162997</v>
      </c>
      <c r="K15">
        <v>0</v>
      </c>
      <c r="M15">
        <v>0</v>
      </c>
    </row>
    <row r="16" spans="1:18" ht="24.75" customHeight="1">
      <c r="A16" s="158" t="s">
        <v>164</v>
      </c>
      <c r="B16" s="159">
        <f>533/100</f>
        <v>5.33</v>
      </c>
      <c r="C16" s="160">
        <f>223/100</f>
        <v>2.23</v>
      </c>
      <c r="D16" s="159">
        <f>4104/10</f>
        <v>410.4</v>
      </c>
      <c r="E16" s="375">
        <f t="shared" si="0"/>
        <v>1840.358744394619</v>
      </c>
      <c r="F16" s="162">
        <f t="shared" si="1"/>
        <v>99.259783999999996</v>
      </c>
      <c r="G16" s="338"/>
      <c r="H16" s="338">
        <v>146834</v>
      </c>
      <c r="K16">
        <v>4104</v>
      </c>
      <c r="M16">
        <v>223</v>
      </c>
      <c r="N16" s="390">
        <v>533</v>
      </c>
      <c r="O16">
        <v>523</v>
      </c>
      <c r="P16">
        <v>523</v>
      </c>
      <c r="Q16">
        <v>523</v>
      </c>
      <c r="R16">
        <v>533</v>
      </c>
    </row>
    <row r="17" spans="1:18" ht="24.75" customHeight="1">
      <c r="A17" s="158" t="s">
        <v>165</v>
      </c>
      <c r="B17" s="159">
        <f>6176/100</f>
        <v>61.76</v>
      </c>
      <c r="C17" s="160">
        <f>547/100</f>
        <v>5.47</v>
      </c>
      <c r="D17" s="159">
        <f>721/10</f>
        <v>72.099999999999994</v>
      </c>
      <c r="E17" s="375">
        <f t="shared" si="0"/>
        <v>131.80987202925047</v>
      </c>
      <c r="F17" s="162">
        <f t="shared" si="1"/>
        <v>89.583519999999993</v>
      </c>
      <c r="G17" s="338"/>
      <c r="H17" s="338">
        <v>132520</v>
      </c>
      <c r="K17">
        <v>721</v>
      </c>
      <c r="M17">
        <v>547</v>
      </c>
      <c r="N17" s="390">
        <v>6176</v>
      </c>
      <c r="O17">
        <v>6176</v>
      </c>
      <c r="P17">
        <v>6133</v>
      </c>
      <c r="Q17">
        <v>6094</v>
      </c>
      <c r="R17">
        <v>6026</v>
      </c>
    </row>
    <row r="18" spans="1:18" ht="24.75" customHeight="1">
      <c r="A18" s="158" t="s">
        <v>166</v>
      </c>
      <c r="B18" s="160">
        <v>0</v>
      </c>
      <c r="C18" s="160">
        <v>0</v>
      </c>
      <c r="D18" s="159">
        <v>0</v>
      </c>
      <c r="E18" s="159">
        <v>0</v>
      </c>
      <c r="F18" s="162">
        <f t="shared" si="1"/>
        <v>96.953271999999998</v>
      </c>
      <c r="G18" s="338"/>
      <c r="H18" s="338">
        <v>143422</v>
      </c>
      <c r="K18">
        <v>0</v>
      </c>
    </row>
    <row r="19" spans="1:18" ht="24.75" customHeight="1">
      <c r="A19" s="158" t="s">
        <v>167</v>
      </c>
      <c r="B19" s="160">
        <v>0</v>
      </c>
      <c r="C19" s="160">
        <v>0</v>
      </c>
      <c r="D19" s="159">
        <v>0</v>
      </c>
      <c r="E19" s="159">
        <v>0</v>
      </c>
      <c r="F19" s="162">
        <f t="shared" si="1"/>
        <v>73.490663999999995</v>
      </c>
      <c r="G19" s="338"/>
      <c r="H19" s="338">
        <v>108714</v>
      </c>
      <c r="K19">
        <v>0</v>
      </c>
    </row>
    <row r="20" spans="1:18" ht="24.75" customHeight="1">
      <c r="A20" s="158" t="s">
        <v>168</v>
      </c>
      <c r="B20" s="160">
        <v>0</v>
      </c>
      <c r="C20" s="160">
        <v>0</v>
      </c>
      <c r="D20" s="159">
        <v>0</v>
      </c>
      <c r="E20" s="159">
        <v>0</v>
      </c>
      <c r="F20" s="162">
        <f t="shared" si="1"/>
        <v>47.244287999999997</v>
      </c>
      <c r="G20" s="338"/>
      <c r="H20" s="338">
        <v>69888</v>
      </c>
      <c r="K20">
        <v>0</v>
      </c>
    </row>
    <row r="21" spans="1:18" ht="24.75" customHeight="1">
      <c r="A21" s="158" t="s">
        <v>169</v>
      </c>
      <c r="B21" s="160">
        <v>0</v>
      </c>
      <c r="C21" s="160">
        <v>0</v>
      </c>
      <c r="D21" s="159">
        <v>0</v>
      </c>
      <c r="E21" s="159">
        <v>0</v>
      </c>
      <c r="F21" s="162">
        <f t="shared" si="1"/>
        <v>126.10036399999998</v>
      </c>
      <c r="G21" s="338"/>
      <c r="H21" s="338">
        <v>186539</v>
      </c>
      <c r="K21">
        <v>0</v>
      </c>
    </row>
    <row r="22" spans="1:18" ht="24.75" customHeight="1">
      <c r="A22" s="158" t="s">
        <v>170</v>
      </c>
      <c r="B22" s="160">
        <v>0</v>
      </c>
      <c r="C22" s="160">
        <v>0</v>
      </c>
      <c r="D22" s="159">
        <v>0</v>
      </c>
      <c r="E22" s="159">
        <v>0</v>
      </c>
      <c r="F22" s="162">
        <f t="shared" si="1"/>
        <v>113.24960399999999</v>
      </c>
      <c r="G22" s="338"/>
      <c r="H22" s="338">
        <v>167529</v>
      </c>
      <c r="K22">
        <v>0</v>
      </c>
    </row>
    <row r="23" spans="1:18" ht="24.75" customHeight="1">
      <c r="A23" s="158" t="s">
        <v>171</v>
      </c>
      <c r="B23" s="159">
        <f>70/100</f>
        <v>0.7</v>
      </c>
      <c r="C23" s="160">
        <v>0</v>
      </c>
      <c r="D23" s="159">
        <v>0</v>
      </c>
      <c r="E23" s="159">
        <v>0</v>
      </c>
      <c r="F23" s="162">
        <f t="shared" si="1"/>
        <v>60.919091999999999</v>
      </c>
      <c r="G23" s="338"/>
      <c r="H23" s="338">
        <v>90117</v>
      </c>
      <c r="K23">
        <v>0</v>
      </c>
      <c r="N23" s="390">
        <v>70</v>
      </c>
      <c r="O23">
        <v>70</v>
      </c>
      <c r="P23">
        <v>70</v>
      </c>
      <c r="Q23">
        <v>70</v>
      </c>
      <c r="R23">
        <v>70</v>
      </c>
    </row>
    <row r="24" spans="1:18" ht="24.75" customHeight="1">
      <c r="A24" s="158" t="s">
        <v>172</v>
      </c>
      <c r="B24" s="160">
        <v>0</v>
      </c>
      <c r="C24" s="160">
        <v>0</v>
      </c>
      <c r="D24" s="159">
        <v>0</v>
      </c>
      <c r="E24" s="159">
        <v>0</v>
      </c>
      <c r="F24" s="162">
        <f t="shared" si="1"/>
        <v>59.419723999999995</v>
      </c>
      <c r="G24" s="338"/>
      <c r="H24" s="338">
        <v>87899</v>
      </c>
      <c r="K24">
        <v>0</v>
      </c>
    </row>
    <row r="25" spans="1:18" ht="24.75" customHeight="1">
      <c r="A25" s="182" t="s">
        <v>173</v>
      </c>
      <c r="B25" s="160">
        <v>0</v>
      </c>
      <c r="C25" s="160">
        <v>0</v>
      </c>
      <c r="D25" s="159">
        <v>0</v>
      </c>
      <c r="E25" s="159">
        <v>0</v>
      </c>
      <c r="F25" s="162">
        <f t="shared" si="1"/>
        <v>127.92826799999999</v>
      </c>
      <c r="G25" s="338"/>
      <c r="H25" s="338">
        <v>189243</v>
      </c>
      <c r="K25">
        <v>0</v>
      </c>
    </row>
    <row r="26" spans="1:18" ht="24.75" customHeight="1">
      <c r="A26" s="12">
        <v>2025</v>
      </c>
      <c r="B26" s="186">
        <f>SUM(B9:B25)</f>
        <v>702.2700000000001</v>
      </c>
      <c r="C26" s="186">
        <f>SUM(C9:C25)</f>
        <v>339.95000000000005</v>
      </c>
      <c r="D26" s="186">
        <f>SUM(D9:D25)</f>
        <v>1240.5619999999999</v>
      </c>
      <c r="E26" s="186">
        <f>SUM(E9:E25)</f>
        <v>2374.87478741931</v>
      </c>
      <c r="F26" s="186">
        <f>SUM(F9:F25)</f>
        <v>1381.120052</v>
      </c>
    </row>
    <row r="27" spans="1:18" ht="24.75" customHeight="1">
      <c r="A27" s="12">
        <f t="shared" ref="A27:A30" si="2">A26-1</f>
        <v>2024</v>
      </c>
      <c r="B27" s="167">
        <v>687.06</v>
      </c>
      <c r="C27" s="167">
        <v>176.7</v>
      </c>
      <c r="D27" s="167">
        <v>1155.45</v>
      </c>
      <c r="E27" s="187">
        <v>65.390492359932097</v>
      </c>
      <c r="F27" s="188">
        <v>2686.3537999999999</v>
      </c>
    </row>
    <row r="28" spans="1:18" ht="24.75" customHeight="1">
      <c r="A28" s="12">
        <f t="shared" si="2"/>
        <v>2023</v>
      </c>
      <c r="B28" s="169">
        <v>702.82999999999993</v>
      </c>
      <c r="C28" s="169">
        <v>222.82</v>
      </c>
      <c r="D28" s="169">
        <v>1491.932</v>
      </c>
      <c r="E28" s="170">
        <v>66.956826137689617</v>
      </c>
      <c r="F28" s="171">
        <v>1893.5428809892476</v>
      </c>
    </row>
    <row r="29" spans="1:18" ht="24.75" customHeight="1">
      <c r="A29" s="12">
        <f t="shared" si="2"/>
        <v>2022</v>
      </c>
      <c r="B29" s="169">
        <v>703.47</v>
      </c>
      <c r="C29" s="169">
        <v>126.67</v>
      </c>
      <c r="D29" s="169">
        <v>723.55399999999997</v>
      </c>
      <c r="E29" s="170">
        <v>57.121181021552061</v>
      </c>
      <c r="F29" s="171">
        <v>1091.8314723086796</v>
      </c>
    </row>
    <row r="30" spans="1:18" ht="24.75" customHeight="1">
      <c r="A30" s="12">
        <f t="shared" si="2"/>
        <v>2021</v>
      </c>
      <c r="B30" s="169">
        <v>689.52</v>
      </c>
      <c r="C30" s="169">
        <v>67.069999999999993</v>
      </c>
      <c r="D30" s="169">
        <v>521.5</v>
      </c>
      <c r="E30" s="170">
        <v>77.75458476218877</v>
      </c>
      <c r="F30" s="171">
        <v>1082.3138940060001</v>
      </c>
    </row>
    <row r="31" spans="1:18" ht="14.25" customHeight="1">
      <c r="A31" s="172"/>
      <c r="B31" s="169"/>
      <c r="C31" s="169"/>
      <c r="D31" s="169"/>
      <c r="E31" s="170"/>
      <c r="F31" s="171"/>
    </row>
    <row r="32" spans="1:18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1000"/>
  <sheetViews>
    <sheetView topLeftCell="A16" workbookViewId="0">
      <selection activeCell="B26" sqref="B26:F26"/>
    </sheetView>
  </sheetViews>
  <sheetFormatPr defaultColWidth="14.42578125" defaultRowHeight="15" customHeight="1"/>
  <cols>
    <col min="1" max="1" width="24.5703125" customWidth="1"/>
    <col min="2" max="4" width="8.7109375" customWidth="1"/>
    <col min="5" max="5" width="10" customWidth="1"/>
    <col min="6" max="11" width="8.7109375" customWidth="1"/>
    <col min="12" max="12" width="11.28515625" customWidth="1"/>
    <col min="13" max="26" width="8.7109375" customWidth="1"/>
  </cols>
  <sheetData>
    <row r="1" spans="1:17" ht="14.25" customHeight="1">
      <c r="A1" s="429" t="s">
        <v>235</v>
      </c>
      <c r="B1" s="423"/>
      <c r="C1" s="423"/>
      <c r="D1" s="423"/>
      <c r="E1" s="423"/>
      <c r="F1" s="423"/>
    </row>
    <row r="2" spans="1:17" ht="14.25" customHeight="1">
      <c r="A2" s="429" t="s">
        <v>236</v>
      </c>
      <c r="B2" s="423"/>
      <c r="C2" s="423"/>
      <c r="D2" s="423"/>
      <c r="E2" s="423"/>
      <c r="F2" s="423"/>
    </row>
    <row r="3" spans="1:17" ht="14.25" customHeight="1">
      <c r="A3" s="429" t="s">
        <v>102</v>
      </c>
      <c r="B3" s="423"/>
      <c r="C3" s="423"/>
      <c r="D3" s="423"/>
      <c r="E3" s="423"/>
      <c r="F3" s="423"/>
    </row>
    <row r="4" spans="1:17" ht="14.25" customHeight="1">
      <c r="A4" s="137"/>
      <c r="B4" s="141"/>
      <c r="C4" s="122"/>
      <c r="D4" s="122"/>
      <c r="E4" s="123"/>
      <c r="F4" s="122"/>
    </row>
    <row r="5" spans="1:17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7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7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7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14">
        <f>I8/1000</f>
        <v>4.7840000000000001E-3</v>
      </c>
      <c r="I8">
        <f>J8*52</f>
        <v>4.7839999999999998</v>
      </c>
      <c r="J8" s="378">
        <v>9.1999999999999998E-2</v>
      </c>
      <c r="K8" s="394" t="s">
        <v>262</v>
      </c>
      <c r="L8" s="394" t="s">
        <v>260</v>
      </c>
      <c r="M8" s="394" t="s">
        <v>263</v>
      </c>
      <c r="N8" s="397" t="s">
        <v>264</v>
      </c>
      <c r="O8" s="403" t="s">
        <v>265</v>
      </c>
      <c r="P8" s="403" t="s">
        <v>266</v>
      </c>
      <c r="Q8" s="403" t="s">
        <v>267</v>
      </c>
    </row>
    <row r="9" spans="1:17" ht="24.75" customHeight="1">
      <c r="A9" s="158" t="s">
        <v>157</v>
      </c>
      <c r="B9" s="159">
        <f>31470/1000</f>
        <v>31.47</v>
      </c>
      <c r="C9" s="160">
        <f>28600/1000</f>
        <v>28.6</v>
      </c>
      <c r="D9" s="159">
        <f>4572/10</f>
        <v>457.2</v>
      </c>
      <c r="E9" s="375">
        <f t="shared" ref="E9:E25" si="0">(D9*10)/C9</f>
        <v>159.86013986013984</v>
      </c>
      <c r="F9" s="162">
        <f>$H$8*H9</f>
        <v>311.36664000000002</v>
      </c>
      <c r="G9" s="338"/>
      <c r="H9" s="338">
        <v>65085</v>
      </c>
      <c r="K9" s="388">
        <v>4572</v>
      </c>
      <c r="L9" s="388">
        <v>28600</v>
      </c>
      <c r="M9" s="388">
        <v>31470</v>
      </c>
      <c r="N9" s="388">
        <v>31470</v>
      </c>
      <c r="O9" s="388">
        <v>31470</v>
      </c>
      <c r="P9" s="388">
        <v>31470</v>
      </c>
      <c r="Q9" s="388">
        <v>31470</v>
      </c>
    </row>
    <row r="10" spans="1:17" ht="24.75" customHeight="1">
      <c r="A10" s="158" t="s">
        <v>158</v>
      </c>
      <c r="B10" s="159">
        <f>78937/1000</f>
        <v>78.936999999999998</v>
      </c>
      <c r="C10" s="160">
        <f>3087/1000</f>
        <v>3.0870000000000002</v>
      </c>
      <c r="D10" s="159">
        <f>3007/10</f>
        <v>300.7</v>
      </c>
      <c r="E10" s="375">
        <f t="shared" si="0"/>
        <v>974.08487204405571</v>
      </c>
      <c r="F10" s="162">
        <f t="shared" ref="F10:F25" si="1">$H$8*H10</f>
        <v>511.99803200000002</v>
      </c>
      <c r="G10" s="338"/>
      <c r="H10" s="338">
        <v>107023</v>
      </c>
      <c r="K10" s="388">
        <v>3007</v>
      </c>
      <c r="L10" s="388">
        <v>3087</v>
      </c>
      <c r="M10" s="388">
        <v>78937</v>
      </c>
      <c r="N10" s="388">
        <v>78937</v>
      </c>
      <c r="O10" s="388">
        <v>77584</v>
      </c>
      <c r="P10" s="388">
        <v>77476</v>
      </c>
      <c r="Q10" s="388">
        <v>74934</v>
      </c>
    </row>
    <row r="11" spans="1:17" ht="24.75" customHeight="1">
      <c r="A11" s="158" t="s">
        <v>159</v>
      </c>
      <c r="B11" s="159">
        <f>17166/1000</f>
        <v>17.166</v>
      </c>
      <c r="C11" s="160">
        <f>12698/1000</f>
        <v>12.698</v>
      </c>
      <c r="D11" s="159">
        <f>9052/10</f>
        <v>905.2</v>
      </c>
      <c r="E11" s="375">
        <f t="shared" si="0"/>
        <v>712.86816821546699</v>
      </c>
      <c r="F11" s="162">
        <f t="shared" si="1"/>
        <v>560.67523200000005</v>
      </c>
      <c r="G11" s="338"/>
      <c r="H11" s="338">
        <v>117198</v>
      </c>
      <c r="K11" s="389">
        <v>9051.66</v>
      </c>
      <c r="L11" s="388">
        <v>12698</v>
      </c>
      <c r="M11" s="388">
        <v>17166</v>
      </c>
      <c r="N11" s="388">
        <v>17166</v>
      </c>
      <c r="O11" s="388">
        <v>16999</v>
      </c>
      <c r="P11" s="388">
        <v>16933</v>
      </c>
      <c r="Q11" s="388">
        <v>16799</v>
      </c>
    </row>
    <row r="12" spans="1:17" ht="24.75" customHeight="1">
      <c r="A12" s="158" t="s">
        <v>160</v>
      </c>
      <c r="B12" s="159">
        <f>6265/1000</f>
        <v>6.2649999999999997</v>
      </c>
      <c r="C12" s="160">
        <f>1980/1000</f>
        <v>1.98</v>
      </c>
      <c r="D12" s="159">
        <f>1178/10</f>
        <v>117.8</v>
      </c>
      <c r="E12" s="375">
        <f t="shared" si="0"/>
        <v>594.94949494949492</v>
      </c>
      <c r="F12" s="162">
        <f t="shared" si="1"/>
        <v>557.31686400000001</v>
      </c>
      <c r="G12" s="338"/>
      <c r="H12" s="338">
        <v>116496</v>
      </c>
      <c r="K12" s="389">
        <v>1178.3499999999999</v>
      </c>
      <c r="L12" s="388">
        <v>1980</v>
      </c>
      <c r="M12" s="388">
        <v>6265</v>
      </c>
      <c r="N12" s="388">
        <v>6265</v>
      </c>
      <c r="O12" s="388">
        <v>5965</v>
      </c>
      <c r="P12" s="388">
        <v>5923</v>
      </c>
      <c r="Q12" s="388">
        <v>6023</v>
      </c>
    </row>
    <row r="13" spans="1:17" ht="24.75" customHeight="1">
      <c r="A13" s="158" t="s">
        <v>161</v>
      </c>
      <c r="B13" s="159">
        <f>3019/1000</f>
        <v>3.0190000000000001</v>
      </c>
      <c r="C13" s="160">
        <f>2006/1000</f>
        <v>2.0059999999999998</v>
      </c>
      <c r="D13" s="159">
        <f>516/10</f>
        <v>51.6</v>
      </c>
      <c r="E13" s="375">
        <f t="shared" si="0"/>
        <v>257.22831505483555</v>
      </c>
      <c r="F13" s="162">
        <f t="shared" si="1"/>
        <v>344.48627199999999</v>
      </c>
      <c r="G13" s="338"/>
      <c r="H13" s="338">
        <v>72008</v>
      </c>
      <c r="K13" s="388">
        <v>516</v>
      </c>
      <c r="L13" s="388">
        <v>2006</v>
      </c>
      <c r="M13" s="388">
        <v>3019</v>
      </c>
      <c r="N13" s="388">
        <v>3019</v>
      </c>
      <c r="O13" s="388">
        <v>2995</v>
      </c>
      <c r="P13" s="388">
        <v>2978</v>
      </c>
      <c r="Q13" s="388">
        <v>3832</v>
      </c>
    </row>
    <row r="14" spans="1:17" ht="24.75" customHeight="1">
      <c r="A14" s="158" t="s">
        <v>162</v>
      </c>
      <c r="B14" s="159">
        <f>12142/1000</f>
        <v>12.141999999999999</v>
      </c>
      <c r="C14" s="160">
        <f>2435/1000</f>
        <v>2.4350000000000001</v>
      </c>
      <c r="D14" s="159">
        <f>1492.25/10</f>
        <v>149.22499999999999</v>
      </c>
      <c r="E14" s="375">
        <f t="shared" si="0"/>
        <v>612.8336755646817</v>
      </c>
      <c r="F14" s="162">
        <f t="shared" si="1"/>
        <v>380.63896</v>
      </c>
      <c r="G14" s="338"/>
      <c r="H14" s="338">
        <v>79565</v>
      </c>
      <c r="K14" s="389">
        <v>1492.25</v>
      </c>
      <c r="L14" s="388">
        <v>2435</v>
      </c>
      <c r="M14" s="388">
        <v>12142</v>
      </c>
      <c r="N14" s="388">
        <v>12142</v>
      </c>
      <c r="O14" s="388">
        <v>11747</v>
      </c>
      <c r="P14" s="388">
        <v>11228</v>
      </c>
      <c r="Q14" s="388">
        <v>11387</v>
      </c>
    </row>
    <row r="15" spans="1:17" ht="24.75" customHeight="1">
      <c r="A15" s="158" t="s">
        <v>163</v>
      </c>
      <c r="B15" s="159">
        <f>18200/1000</f>
        <v>18.2</v>
      </c>
      <c r="C15" s="160">
        <f>18200/1000</f>
        <v>18.2</v>
      </c>
      <c r="D15" s="159">
        <f>10205/10</f>
        <v>1020.5</v>
      </c>
      <c r="E15" s="375">
        <f t="shared" si="0"/>
        <v>560.71428571428578</v>
      </c>
      <c r="F15" s="162">
        <f t="shared" si="1"/>
        <v>779.777648</v>
      </c>
      <c r="G15" s="338"/>
      <c r="H15" s="338">
        <v>162997</v>
      </c>
      <c r="K15" s="388">
        <v>10205</v>
      </c>
      <c r="L15" s="388">
        <v>18200</v>
      </c>
      <c r="M15" s="388">
        <v>18200</v>
      </c>
      <c r="N15" s="388">
        <v>18200</v>
      </c>
      <c r="O15" s="388">
        <v>18000</v>
      </c>
      <c r="P15" s="388">
        <v>17700</v>
      </c>
      <c r="Q15" s="388">
        <v>17000</v>
      </c>
    </row>
    <row r="16" spans="1:17" ht="24.75" customHeight="1">
      <c r="A16" s="158" t="s">
        <v>164</v>
      </c>
      <c r="B16" s="159">
        <f>31700/1000</f>
        <v>31.7</v>
      </c>
      <c r="C16" s="160">
        <f>31600/1000</f>
        <v>31.6</v>
      </c>
      <c r="D16" s="159">
        <f>16321/10</f>
        <v>1632.1</v>
      </c>
      <c r="E16" s="375">
        <f t="shared" si="0"/>
        <v>516.48734177215192</v>
      </c>
      <c r="F16" s="162">
        <f t="shared" si="1"/>
        <v>702.45385599999997</v>
      </c>
      <c r="G16" s="338"/>
      <c r="H16" s="338">
        <v>146834</v>
      </c>
      <c r="K16" s="388">
        <v>16321</v>
      </c>
      <c r="L16" s="388">
        <v>31600</v>
      </c>
      <c r="M16" s="388">
        <v>31700</v>
      </c>
      <c r="N16" s="388">
        <v>31550</v>
      </c>
      <c r="O16" s="388">
        <v>31500</v>
      </c>
      <c r="P16" s="388">
        <v>31800</v>
      </c>
      <c r="Q16" s="388">
        <v>31700</v>
      </c>
    </row>
    <row r="17" spans="1:17" ht="24.75" customHeight="1">
      <c r="A17" s="158" t="s">
        <v>165</v>
      </c>
      <c r="B17" s="159">
        <f>18114/1000</f>
        <v>18.114000000000001</v>
      </c>
      <c r="C17" s="160">
        <f>13493/1000</f>
        <v>13.493</v>
      </c>
      <c r="D17" s="159">
        <f>3115/10</f>
        <v>311.5</v>
      </c>
      <c r="E17" s="375">
        <f t="shared" si="0"/>
        <v>230.86044615726672</v>
      </c>
      <c r="F17" s="162">
        <f t="shared" si="1"/>
        <v>633.97568000000001</v>
      </c>
      <c r="G17" s="338"/>
      <c r="H17" s="338">
        <v>132520</v>
      </c>
      <c r="K17" s="388">
        <v>3115</v>
      </c>
      <c r="L17" s="388">
        <v>13493</v>
      </c>
      <c r="M17" s="388">
        <v>18114</v>
      </c>
      <c r="N17" s="388">
        <v>18114</v>
      </c>
      <c r="O17" s="388">
        <v>17935</v>
      </c>
      <c r="P17" s="388">
        <v>17792</v>
      </c>
      <c r="Q17" s="388">
        <v>17623</v>
      </c>
    </row>
    <row r="18" spans="1:17" ht="24.75" customHeight="1">
      <c r="A18" s="158" t="s">
        <v>166</v>
      </c>
      <c r="B18" s="159">
        <f>94870/1000</f>
        <v>94.87</v>
      </c>
      <c r="C18" s="160">
        <f>22944/1000</f>
        <v>22.943999999999999</v>
      </c>
      <c r="D18" s="159">
        <f>59075/10</f>
        <v>5907.5</v>
      </c>
      <c r="E18" s="375">
        <f t="shared" si="0"/>
        <v>2574.7472105997213</v>
      </c>
      <c r="F18" s="162">
        <f t="shared" si="1"/>
        <v>686.13084800000001</v>
      </c>
      <c r="G18" s="338"/>
      <c r="H18" s="338">
        <v>143422</v>
      </c>
      <c r="K18" s="389">
        <v>59075.25</v>
      </c>
      <c r="L18" s="388">
        <v>22944</v>
      </c>
      <c r="M18" s="388">
        <v>94870</v>
      </c>
      <c r="N18" s="388">
        <v>66590</v>
      </c>
      <c r="O18" s="388">
        <v>92390</v>
      </c>
      <c r="P18" s="388">
        <v>80690</v>
      </c>
      <c r="Q18" s="388">
        <v>94870</v>
      </c>
    </row>
    <row r="19" spans="1:17" ht="24.75" customHeight="1">
      <c r="A19" s="158" t="s">
        <v>167</v>
      </c>
      <c r="B19" s="159">
        <f>2395/1000</f>
        <v>2.395</v>
      </c>
      <c r="C19" s="160">
        <f>2050/1000</f>
        <v>2.0499999999999998</v>
      </c>
      <c r="D19" s="159">
        <f>811/10</f>
        <v>81.099999999999994</v>
      </c>
      <c r="E19" s="375">
        <f t="shared" si="0"/>
        <v>395.60975609756099</v>
      </c>
      <c r="F19" s="162">
        <f t="shared" si="1"/>
        <v>520.08777599999996</v>
      </c>
      <c r="G19" s="338"/>
      <c r="H19" s="338">
        <v>108714</v>
      </c>
      <c r="K19" s="388">
        <v>811</v>
      </c>
      <c r="L19" s="388">
        <v>2050</v>
      </c>
      <c r="M19" s="388">
        <v>2395</v>
      </c>
      <c r="N19" s="388">
        <v>2350</v>
      </c>
      <c r="O19" s="388">
        <v>2370</v>
      </c>
      <c r="P19" s="388">
        <v>2370</v>
      </c>
      <c r="Q19" s="388">
        <v>2395</v>
      </c>
    </row>
    <row r="20" spans="1:17" ht="24.75" customHeight="1">
      <c r="A20" s="158" t="s">
        <v>168</v>
      </c>
      <c r="B20" s="159">
        <f>6520/1000</f>
        <v>6.52</v>
      </c>
      <c r="C20" s="160">
        <f>4890/1000</f>
        <v>4.8899999999999997</v>
      </c>
      <c r="D20" s="159">
        <f>3609/10</f>
        <v>360.9</v>
      </c>
      <c r="E20" s="375">
        <f t="shared" si="0"/>
        <v>738.03680981595096</v>
      </c>
      <c r="F20" s="162">
        <f t="shared" si="1"/>
        <v>334.34419200000002</v>
      </c>
      <c r="G20" s="338"/>
      <c r="H20" s="338">
        <v>69888</v>
      </c>
      <c r="K20" s="389">
        <v>3608.96</v>
      </c>
      <c r="L20" s="388">
        <v>4890</v>
      </c>
      <c r="M20" s="388">
        <v>6520</v>
      </c>
      <c r="N20" s="388">
        <v>6520</v>
      </c>
      <c r="O20" s="388">
        <v>5216</v>
      </c>
      <c r="P20" s="388">
        <v>4173</v>
      </c>
      <c r="Q20" s="388">
        <v>3338</v>
      </c>
    </row>
    <row r="21" spans="1:17" ht="24.75" customHeight="1">
      <c r="A21" s="158" t="s">
        <v>169</v>
      </c>
      <c r="B21" s="159">
        <f>7404/1000</f>
        <v>7.4039999999999999</v>
      </c>
      <c r="C21" s="160">
        <f>1784/1000</f>
        <v>1.784</v>
      </c>
      <c r="D21" s="159">
        <f>703/10</f>
        <v>70.3</v>
      </c>
      <c r="E21" s="375">
        <f t="shared" si="0"/>
        <v>394.05829596412553</v>
      </c>
      <c r="F21" s="162">
        <f t="shared" si="1"/>
        <v>892.40257600000007</v>
      </c>
      <c r="G21" s="338"/>
      <c r="H21" s="338">
        <v>186539</v>
      </c>
      <c r="K21" s="389">
        <v>703.22</v>
      </c>
      <c r="L21">
        <v>1784</v>
      </c>
      <c r="M21" s="390">
        <v>7404</v>
      </c>
      <c r="N21">
        <v>7404</v>
      </c>
      <c r="O21">
        <v>7174</v>
      </c>
      <c r="P21">
        <v>7139</v>
      </c>
      <c r="Q21">
        <v>7075</v>
      </c>
    </row>
    <row r="22" spans="1:17" ht="24.75" customHeight="1">
      <c r="A22" s="158" t="s">
        <v>170</v>
      </c>
      <c r="B22" s="159">
        <f>1053/1000</f>
        <v>1.0529999999999999</v>
      </c>
      <c r="C22" s="160">
        <f>623/1000</f>
        <v>0.623</v>
      </c>
      <c r="D22" s="159">
        <f>372/10</f>
        <v>37.200000000000003</v>
      </c>
      <c r="E22" s="375">
        <f t="shared" si="0"/>
        <v>597.11075441412515</v>
      </c>
      <c r="F22" s="162">
        <f t="shared" si="1"/>
        <v>801.45873600000004</v>
      </c>
      <c r="G22" s="338"/>
      <c r="H22" s="338">
        <v>167529</v>
      </c>
      <c r="K22" s="389">
        <v>372.33</v>
      </c>
      <c r="L22">
        <v>623</v>
      </c>
      <c r="M22" s="390">
        <v>1053</v>
      </c>
      <c r="N22">
        <v>1053</v>
      </c>
      <c r="O22">
        <v>1011</v>
      </c>
      <c r="P22">
        <v>800</v>
      </c>
      <c r="Q22">
        <v>770</v>
      </c>
    </row>
    <row r="23" spans="1:17" ht="24.75" customHeight="1">
      <c r="A23" s="158" t="s">
        <v>171</v>
      </c>
      <c r="B23" s="159">
        <f>1728/1000</f>
        <v>1.728</v>
      </c>
      <c r="C23" s="160">
        <f>315/1000</f>
        <v>0.315</v>
      </c>
      <c r="D23" s="159">
        <f>559/10</f>
        <v>55.9</v>
      </c>
      <c r="E23" s="375">
        <f t="shared" si="0"/>
        <v>1774.6031746031747</v>
      </c>
      <c r="F23" s="162">
        <f t="shared" si="1"/>
        <v>431.11972800000001</v>
      </c>
      <c r="G23" s="338"/>
      <c r="H23" s="338">
        <v>90117</v>
      </c>
      <c r="K23" s="389">
        <v>559.20000000000005</v>
      </c>
      <c r="L23">
        <v>315</v>
      </c>
      <c r="M23" s="390">
        <v>1728</v>
      </c>
      <c r="N23">
        <v>1592</v>
      </c>
      <c r="O23">
        <v>1721</v>
      </c>
      <c r="P23">
        <v>1728</v>
      </c>
      <c r="Q23">
        <v>1688</v>
      </c>
    </row>
    <row r="24" spans="1:17" ht="24.75" customHeight="1">
      <c r="A24" s="158" t="s">
        <v>172</v>
      </c>
      <c r="B24" s="159">
        <f>5018/1000</f>
        <v>5.0179999999999998</v>
      </c>
      <c r="C24" s="160">
        <f>3650/1000</f>
        <v>3.65</v>
      </c>
      <c r="D24" s="159">
        <f>4798/10</f>
        <v>479.8</v>
      </c>
      <c r="E24" s="375">
        <f t="shared" si="0"/>
        <v>1314.5205479452054</v>
      </c>
      <c r="F24" s="162">
        <f t="shared" si="1"/>
        <v>420.50881600000002</v>
      </c>
      <c r="G24" s="338"/>
      <c r="H24" s="338">
        <v>87899</v>
      </c>
      <c r="K24" s="388">
        <v>4798</v>
      </c>
      <c r="L24">
        <v>3650</v>
      </c>
      <c r="M24" s="390">
        <v>5018</v>
      </c>
      <c r="N24">
        <v>5018</v>
      </c>
      <c r="O24">
        <v>5018</v>
      </c>
      <c r="P24">
        <v>5018</v>
      </c>
      <c r="Q24">
        <v>5018</v>
      </c>
    </row>
    <row r="25" spans="1:17" ht="24.75" customHeight="1">
      <c r="A25" s="182" t="s">
        <v>173</v>
      </c>
      <c r="B25" s="183">
        <f>621/1000</f>
        <v>0.621</v>
      </c>
      <c r="C25" s="184">
        <f>265/1000</f>
        <v>0.26500000000000001</v>
      </c>
      <c r="D25" s="183">
        <f>122/10</f>
        <v>12.2</v>
      </c>
      <c r="E25" s="375">
        <f t="shared" si="0"/>
        <v>460.377358490566</v>
      </c>
      <c r="F25" s="162">
        <f t="shared" si="1"/>
        <v>905.33851200000004</v>
      </c>
      <c r="G25" s="338"/>
      <c r="H25" s="338">
        <v>189243</v>
      </c>
      <c r="K25" s="388">
        <v>122</v>
      </c>
      <c r="L25">
        <v>265</v>
      </c>
      <c r="M25" s="390">
        <v>621</v>
      </c>
      <c r="N25">
        <v>615</v>
      </c>
      <c r="O25">
        <v>621</v>
      </c>
      <c r="P25">
        <v>618</v>
      </c>
      <c r="Q25">
        <v>618</v>
      </c>
    </row>
    <row r="26" spans="1:17" ht="24.75" customHeight="1">
      <c r="A26" s="12">
        <v>2025</v>
      </c>
      <c r="B26" s="186">
        <f>SUM(B9:B25)</f>
        <v>336.6219999999999</v>
      </c>
      <c r="C26" s="186">
        <f t="shared" ref="C26:F26" si="2">SUM(C9:C25)</f>
        <v>150.61999999999995</v>
      </c>
      <c r="D26" s="186">
        <f t="shared" si="2"/>
        <v>11950.724999999999</v>
      </c>
      <c r="E26" s="186">
        <f t="shared" si="2"/>
        <v>12868.950647262811</v>
      </c>
      <c r="F26" s="186">
        <f t="shared" si="2"/>
        <v>9774.0803680000008</v>
      </c>
    </row>
    <row r="27" spans="1:17" ht="24.75" customHeight="1">
      <c r="A27" s="12">
        <f t="shared" ref="A27:A30" si="3">A26-1</f>
        <v>2024</v>
      </c>
      <c r="B27" s="167">
        <v>313.17700000000002</v>
      </c>
      <c r="C27" s="167">
        <v>211.34200000000001</v>
      </c>
      <c r="D27" s="167">
        <v>11299.226999999999</v>
      </c>
      <c r="E27" s="187">
        <v>534.64181279632055</v>
      </c>
      <c r="F27" s="188">
        <v>9563.4195280000022</v>
      </c>
    </row>
    <row r="28" spans="1:17" ht="24.75" customHeight="1">
      <c r="A28" s="12">
        <f t="shared" si="3"/>
        <v>2023</v>
      </c>
      <c r="B28" s="169">
        <v>533.80099999999993</v>
      </c>
      <c r="C28" s="169">
        <v>385.88999999999993</v>
      </c>
      <c r="D28" s="169">
        <v>47732.28</v>
      </c>
      <c r="E28" s="170">
        <v>702.37340260073995</v>
      </c>
      <c r="F28" s="171">
        <v>11848.514175704466</v>
      </c>
      <c r="L28" s="390"/>
      <c r="M28" s="390"/>
      <c r="N28" s="390"/>
      <c r="O28" s="390"/>
    </row>
    <row r="29" spans="1:17" ht="24.75" customHeight="1">
      <c r="A29" s="12">
        <f t="shared" si="3"/>
        <v>2022</v>
      </c>
      <c r="B29" s="169">
        <v>558.9</v>
      </c>
      <c r="C29" s="169">
        <v>425.154</v>
      </c>
      <c r="D29" s="169">
        <v>17490</v>
      </c>
      <c r="E29" s="170">
        <v>411.3803468860695</v>
      </c>
      <c r="F29" s="171">
        <v>16417.910287308292</v>
      </c>
      <c r="L29" s="390"/>
      <c r="M29" s="390"/>
      <c r="N29" s="390"/>
      <c r="O29" s="390"/>
    </row>
    <row r="30" spans="1:17" ht="24.75" customHeight="1">
      <c r="A30" s="12">
        <f t="shared" si="3"/>
        <v>2021</v>
      </c>
      <c r="B30" s="169">
        <v>517.82899999999995</v>
      </c>
      <c r="C30" s="169">
        <v>281.33499999999998</v>
      </c>
      <c r="D30" s="169">
        <v>22029.699999999993</v>
      </c>
      <c r="E30" s="170">
        <v>783.04156965894742</v>
      </c>
      <c r="F30" s="171">
        <v>16274.794109867998</v>
      </c>
    </row>
    <row r="31" spans="1:17" ht="14.25" customHeight="1">
      <c r="A31" s="172"/>
      <c r="B31" s="169"/>
      <c r="C31" s="169"/>
      <c r="D31" s="169"/>
      <c r="E31" s="170"/>
      <c r="F31" s="171"/>
    </row>
    <row r="32" spans="1:17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Q1000"/>
  <sheetViews>
    <sheetView topLeftCell="A19" workbookViewId="0">
      <selection activeCell="B26" sqref="B26:F26"/>
    </sheetView>
  </sheetViews>
  <sheetFormatPr defaultColWidth="14.42578125" defaultRowHeight="15" customHeight="1"/>
  <cols>
    <col min="1" max="1" width="24" customWidth="1"/>
    <col min="2" max="4" width="8.7109375" customWidth="1"/>
    <col min="5" max="5" width="9.5703125" customWidth="1"/>
    <col min="6" max="11" width="8.7109375" customWidth="1"/>
    <col min="12" max="12" width="11.5703125" customWidth="1"/>
    <col min="13" max="13" width="12" customWidth="1"/>
    <col min="14" max="26" width="8.7109375" customWidth="1"/>
  </cols>
  <sheetData>
    <row r="1" spans="1:17" ht="14.25" customHeight="1">
      <c r="A1" s="429" t="s">
        <v>237</v>
      </c>
      <c r="B1" s="423"/>
      <c r="C1" s="423"/>
      <c r="D1" s="423"/>
      <c r="E1" s="423"/>
      <c r="F1" s="423"/>
    </row>
    <row r="2" spans="1:17" ht="14.25" customHeight="1">
      <c r="A2" s="429" t="s">
        <v>238</v>
      </c>
      <c r="B2" s="423"/>
      <c r="C2" s="423"/>
      <c r="D2" s="423"/>
      <c r="E2" s="423"/>
      <c r="F2" s="423"/>
    </row>
    <row r="3" spans="1:17" ht="14.25" customHeight="1">
      <c r="A3" s="429" t="s">
        <v>102</v>
      </c>
      <c r="B3" s="423"/>
      <c r="C3" s="423"/>
      <c r="D3" s="423"/>
      <c r="E3" s="423"/>
      <c r="F3" s="423"/>
    </row>
    <row r="4" spans="1:17" ht="14.25" customHeight="1">
      <c r="A4" s="137"/>
      <c r="B4" s="141"/>
      <c r="C4" s="122"/>
      <c r="D4" s="122"/>
      <c r="E4" s="123"/>
      <c r="F4" s="122"/>
    </row>
    <row r="5" spans="1:17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7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7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7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14">
        <f>I8/1000</f>
        <v>1.56E-4</v>
      </c>
      <c r="I8">
        <f>J8*52</f>
        <v>0.156</v>
      </c>
      <c r="J8" s="378">
        <v>3.0000000000000001E-3</v>
      </c>
      <c r="K8" s="378" t="s">
        <v>262</v>
      </c>
      <c r="L8" s="394" t="s">
        <v>260</v>
      </c>
      <c r="M8" s="394" t="s">
        <v>263</v>
      </c>
      <c r="N8" s="397" t="s">
        <v>264</v>
      </c>
      <c r="O8" s="403" t="s">
        <v>265</v>
      </c>
      <c r="P8" s="403" t="s">
        <v>266</v>
      </c>
      <c r="Q8" s="403" t="s">
        <v>267</v>
      </c>
    </row>
    <row r="9" spans="1:17" ht="24.75" customHeight="1">
      <c r="A9" s="158" t="s">
        <v>157</v>
      </c>
      <c r="B9" s="159">
        <f>1260/100</f>
        <v>12.6</v>
      </c>
      <c r="C9" s="160">
        <f>560/100</f>
        <v>5.6</v>
      </c>
      <c r="D9" s="159">
        <f>204/10</f>
        <v>20.399999999999999</v>
      </c>
      <c r="E9" s="375">
        <f t="shared" ref="E9:E14" si="0">(D9*10)/C9</f>
        <v>36.428571428571431</v>
      </c>
      <c r="F9" s="162">
        <f>$H$8*H9</f>
        <v>10.15326</v>
      </c>
      <c r="G9" s="338"/>
      <c r="H9" s="338">
        <v>65085</v>
      </c>
      <c r="K9" s="388">
        <v>204</v>
      </c>
      <c r="L9">
        <v>560</v>
      </c>
      <c r="M9" s="406">
        <v>1260</v>
      </c>
      <c r="N9" s="402">
        <v>1260</v>
      </c>
      <c r="O9" s="404">
        <v>1260</v>
      </c>
      <c r="P9" s="404">
        <v>1260</v>
      </c>
      <c r="Q9" s="404">
        <v>1260</v>
      </c>
    </row>
    <row r="10" spans="1:17" ht="24.75" customHeight="1">
      <c r="A10" s="158" t="s">
        <v>158</v>
      </c>
      <c r="B10" s="159">
        <f>1429/100</f>
        <v>14.29</v>
      </c>
      <c r="C10" s="160">
        <f>434/100</f>
        <v>4.34</v>
      </c>
      <c r="D10" s="159">
        <f>434/10</f>
        <v>43.4</v>
      </c>
      <c r="E10" s="375">
        <f t="shared" si="0"/>
        <v>100</v>
      </c>
      <c r="F10" s="162">
        <f t="shared" ref="F10:F25" si="1">$H$8*H10</f>
        <v>16.695588000000001</v>
      </c>
      <c r="G10" s="338"/>
      <c r="H10" s="338">
        <v>107023</v>
      </c>
      <c r="K10" s="388">
        <v>434</v>
      </c>
      <c r="L10">
        <v>434</v>
      </c>
      <c r="M10" s="406">
        <v>1429</v>
      </c>
      <c r="N10" s="402">
        <v>1429</v>
      </c>
      <c r="O10" s="404">
        <v>1424</v>
      </c>
      <c r="P10" s="404">
        <v>1421</v>
      </c>
      <c r="Q10" s="404">
        <v>1407</v>
      </c>
    </row>
    <row r="11" spans="1:17" ht="24.75" customHeight="1">
      <c r="A11" s="158" t="s">
        <v>159</v>
      </c>
      <c r="B11" s="159">
        <f>53/100</f>
        <v>0.53</v>
      </c>
      <c r="C11" s="160">
        <f>18/100</f>
        <v>0.18</v>
      </c>
      <c r="D11" s="159">
        <f>433/10</f>
        <v>43.3</v>
      </c>
      <c r="E11" s="375">
        <f>(D11*10)/C11</f>
        <v>2405.5555555555557</v>
      </c>
      <c r="F11" s="162">
        <f t="shared" si="1"/>
        <v>18.282888</v>
      </c>
      <c r="G11" s="338"/>
      <c r="H11" s="338">
        <v>117198</v>
      </c>
      <c r="K11" s="388">
        <v>433</v>
      </c>
      <c r="L11">
        <v>18</v>
      </c>
      <c r="M11" s="406">
        <v>53</v>
      </c>
      <c r="N11" s="402">
        <v>53</v>
      </c>
      <c r="O11" s="404">
        <v>34</v>
      </c>
      <c r="P11" s="404">
        <v>22</v>
      </c>
      <c r="Q11" s="404">
        <v>12</v>
      </c>
    </row>
    <row r="12" spans="1:17" ht="24.75" customHeight="1">
      <c r="A12" s="158" t="s">
        <v>160</v>
      </c>
      <c r="B12" s="159">
        <f>334/100</f>
        <v>3.34</v>
      </c>
      <c r="C12" s="160">
        <f>46/100</f>
        <v>0.46</v>
      </c>
      <c r="D12" s="159">
        <f>23/10</f>
        <v>2.2999999999999998</v>
      </c>
      <c r="E12" s="375">
        <f>(D12*10)/C12</f>
        <v>50</v>
      </c>
      <c r="F12" s="162">
        <f t="shared" si="1"/>
        <v>18.173376000000001</v>
      </c>
      <c r="G12" s="338"/>
      <c r="H12" s="338">
        <v>116496</v>
      </c>
      <c r="K12" s="389">
        <v>23.16</v>
      </c>
      <c r="L12">
        <v>46</v>
      </c>
      <c r="M12" s="406">
        <v>334</v>
      </c>
      <c r="N12" s="402">
        <v>334</v>
      </c>
      <c r="O12" s="404">
        <v>324</v>
      </c>
      <c r="P12" s="404">
        <v>312</v>
      </c>
      <c r="Q12" s="404">
        <v>302</v>
      </c>
    </row>
    <row r="13" spans="1:17" ht="24.75" customHeight="1">
      <c r="A13" s="158" t="s">
        <v>161</v>
      </c>
      <c r="B13" s="159">
        <f>269/100</f>
        <v>2.69</v>
      </c>
      <c r="C13" s="159">
        <v>0</v>
      </c>
      <c r="D13" s="159">
        <v>0</v>
      </c>
      <c r="E13" s="159">
        <v>0</v>
      </c>
      <c r="F13" s="162">
        <f t="shared" si="1"/>
        <v>11.233248</v>
      </c>
      <c r="G13" s="338"/>
      <c r="H13" s="338">
        <v>72008</v>
      </c>
      <c r="K13" s="388">
        <v>0</v>
      </c>
      <c r="M13" s="406">
        <v>269</v>
      </c>
      <c r="N13" s="402">
        <v>269</v>
      </c>
      <c r="O13" s="404">
        <v>269</v>
      </c>
      <c r="P13" s="404">
        <v>269</v>
      </c>
      <c r="Q13" s="404">
        <v>269</v>
      </c>
    </row>
    <row r="14" spans="1:17" ht="24.75" customHeight="1">
      <c r="A14" s="158" t="s">
        <v>162</v>
      </c>
      <c r="B14" s="159">
        <f>340/100</f>
        <v>3.4</v>
      </c>
      <c r="C14" s="160">
        <f>51/100</f>
        <v>0.51</v>
      </c>
      <c r="D14" s="159">
        <f>26/10</f>
        <v>2.6</v>
      </c>
      <c r="E14" s="375">
        <f t="shared" si="0"/>
        <v>50.980392156862742</v>
      </c>
      <c r="F14" s="162">
        <f t="shared" si="1"/>
        <v>12.412139999999999</v>
      </c>
      <c r="G14" s="338"/>
      <c r="H14" s="338">
        <v>79565</v>
      </c>
      <c r="K14" s="389">
        <v>25.7</v>
      </c>
      <c r="L14">
        <v>51</v>
      </c>
      <c r="M14" s="406">
        <v>340</v>
      </c>
      <c r="N14" s="402">
        <v>340</v>
      </c>
      <c r="O14" s="404">
        <v>340</v>
      </c>
      <c r="P14" s="404">
        <v>340</v>
      </c>
      <c r="Q14" s="404">
        <v>340</v>
      </c>
    </row>
    <row r="15" spans="1:17" ht="24.75" customHeight="1">
      <c r="A15" s="158" t="s">
        <v>163</v>
      </c>
      <c r="B15" s="160">
        <v>0</v>
      </c>
      <c r="C15" s="160">
        <v>0</v>
      </c>
      <c r="D15" s="159">
        <v>0</v>
      </c>
      <c r="E15" s="159">
        <v>0</v>
      </c>
      <c r="F15" s="162">
        <f t="shared" si="1"/>
        <v>25.427531999999999</v>
      </c>
      <c r="G15" s="338"/>
      <c r="H15" s="338">
        <v>162997</v>
      </c>
      <c r="K15" s="388">
        <v>0</v>
      </c>
      <c r="N15" s="436">
        <v>0</v>
      </c>
      <c r="O15" s="434">
        <v>0</v>
      </c>
      <c r="P15" s="435">
        <v>0</v>
      </c>
      <c r="Q15" s="435">
        <v>0</v>
      </c>
    </row>
    <row r="16" spans="1:17" ht="24.75" customHeight="1">
      <c r="A16" s="158" t="s">
        <v>164</v>
      </c>
      <c r="B16" s="160">
        <v>0</v>
      </c>
      <c r="C16" s="160">
        <v>0</v>
      </c>
      <c r="D16" s="159">
        <v>0</v>
      </c>
      <c r="E16" s="159">
        <v>0</v>
      </c>
      <c r="F16" s="162">
        <f t="shared" si="1"/>
        <v>22.906103999999999</v>
      </c>
      <c r="G16" s="338"/>
      <c r="H16" s="338">
        <v>146834</v>
      </c>
      <c r="K16" s="388">
        <v>0</v>
      </c>
      <c r="N16" s="436">
        <v>0</v>
      </c>
      <c r="O16" s="434">
        <v>0</v>
      </c>
      <c r="P16" s="435">
        <v>0</v>
      </c>
      <c r="Q16" s="435">
        <v>0</v>
      </c>
    </row>
    <row r="17" spans="1:17" ht="24.75" customHeight="1">
      <c r="A17" s="158" t="s">
        <v>165</v>
      </c>
      <c r="B17" s="160">
        <v>0</v>
      </c>
      <c r="C17" s="160">
        <v>0</v>
      </c>
      <c r="D17" s="159">
        <v>0</v>
      </c>
      <c r="E17" s="159">
        <v>0</v>
      </c>
      <c r="F17" s="162">
        <f t="shared" si="1"/>
        <v>20.673120000000001</v>
      </c>
      <c r="G17" s="338"/>
      <c r="H17" s="338">
        <v>132520</v>
      </c>
      <c r="K17" s="388">
        <v>0</v>
      </c>
      <c r="N17" s="436">
        <v>0</v>
      </c>
      <c r="O17" s="434">
        <v>0</v>
      </c>
      <c r="P17" s="435">
        <v>0</v>
      </c>
      <c r="Q17" s="435">
        <v>0</v>
      </c>
    </row>
    <row r="18" spans="1:17" ht="24.75" customHeight="1">
      <c r="A18" s="158" t="s">
        <v>166</v>
      </c>
      <c r="B18" s="160">
        <v>0</v>
      </c>
      <c r="C18" s="160">
        <v>0</v>
      </c>
      <c r="D18" s="159">
        <v>0</v>
      </c>
      <c r="E18" s="159">
        <v>0</v>
      </c>
      <c r="F18" s="162">
        <f t="shared" si="1"/>
        <v>22.373832</v>
      </c>
      <c r="G18" s="338"/>
      <c r="H18" s="338">
        <v>143422</v>
      </c>
      <c r="K18" s="388">
        <v>0</v>
      </c>
      <c r="N18" s="436">
        <v>0</v>
      </c>
      <c r="O18" s="434">
        <v>0</v>
      </c>
      <c r="P18" s="435">
        <v>0</v>
      </c>
      <c r="Q18" s="435">
        <v>0</v>
      </c>
    </row>
    <row r="19" spans="1:17" ht="24.75" customHeight="1">
      <c r="A19" s="158" t="s">
        <v>167</v>
      </c>
      <c r="B19" s="160">
        <v>0</v>
      </c>
      <c r="C19" s="160">
        <v>0</v>
      </c>
      <c r="D19" s="159">
        <v>0</v>
      </c>
      <c r="E19" s="159">
        <v>0</v>
      </c>
      <c r="F19" s="162">
        <f t="shared" si="1"/>
        <v>16.959384</v>
      </c>
      <c r="G19" s="338"/>
      <c r="H19" s="338">
        <v>108714</v>
      </c>
      <c r="K19" s="388">
        <v>0</v>
      </c>
      <c r="N19" s="436">
        <v>0</v>
      </c>
      <c r="O19" s="434">
        <v>0</v>
      </c>
      <c r="P19" s="435">
        <v>0</v>
      </c>
      <c r="Q19" s="435">
        <v>0</v>
      </c>
    </row>
    <row r="20" spans="1:17" ht="24.75" customHeight="1">
      <c r="A20" s="158" t="s">
        <v>168</v>
      </c>
      <c r="B20" s="160">
        <v>0</v>
      </c>
      <c r="C20" s="160">
        <v>0</v>
      </c>
      <c r="D20" s="159">
        <v>0</v>
      </c>
      <c r="E20" s="159">
        <v>0</v>
      </c>
      <c r="F20" s="162">
        <f t="shared" si="1"/>
        <v>10.902528</v>
      </c>
      <c r="G20" s="338"/>
      <c r="H20" s="338">
        <v>69888</v>
      </c>
      <c r="K20" s="388">
        <v>0</v>
      </c>
      <c r="N20" s="436">
        <v>0</v>
      </c>
      <c r="O20" s="434">
        <v>0</v>
      </c>
      <c r="P20" s="435">
        <v>0</v>
      </c>
      <c r="Q20" s="435">
        <v>0</v>
      </c>
    </row>
    <row r="21" spans="1:17" ht="24.75" customHeight="1">
      <c r="A21" s="158" t="s">
        <v>169</v>
      </c>
      <c r="B21" s="160">
        <v>0</v>
      </c>
      <c r="C21" s="160">
        <v>0</v>
      </c>
      <c r="D21" s="159">
        <v>0</v>
      </c>
      <c r="E21" s="159">
        <v>0</v>
      </c>
      <c r="F21" s="162">
        <f t="shared" si="1"/>
        <v>29.100083999999999</v>
      </c>
      <c r="G21" s="338"/>
      <c r="H21" s="338">
        <v>186539</v>
      </c>
      <c r="K21" s="388">
        <v>0</v>
      </c>
      <c r="N21" s="436">
        <v>0</v>
      </c>
      <c r="O21" s="434">
        <v>0</v>
      </c>
      <c r="P21" s="435">
        <v>0</v>
      </c>
      <c r="Q21" s="435">
        <v>0</v>
      </c>
    </row>
    <row r="22" spans="1:17" ht="24.75" customHeight="1">
      <c r="A22" s="158" t="s">
        <v>170</v>
      </c>
      <c r="B22" s="160">
        <v>0</v>
      </c>
      <c r="C22" s="160">
        <v>0</v>
      </c>
      <c r="D22" s="159">
        <v>0</v>
      </c>
      <c r="E22" s="159">
        <v>0</v>
      </c>
      <c r="F22" s="162">
        <f t="shared" si="1"/>
        <v>26.134523999999999</v>
      </c>
      <c r="G22" s="338"/>
      <c r="H22" s="338">
        <v>167529</v>
      </c>
      <c r="K22" s="388">
        <v>0</v>
      </c>
      <c r="N22" s="436">
        <v>0</v>
      </c>
      <c r="O22" s="434">
        <v>0</v>
      </c>
      <c r="P22" s="435">
        <v>0</v>
      </c>
      <c r="Q22" s="435">
        <v>0</v>
      </c>
    </row>
    <row r="23" spans="1:17" ht="24.75" customHeight="1">
      <c r="A23" s="158" t="s">
        <v>171</v>
      </c>
      <c r="B23" s="160">
        <v>0</v>
      </c>
      <c r="C23" s="160">
        <v>0</v>
      </c>
      <c r="D23" s="159">
        <v>0</v>
      </c>
      <c r="E23" s="159">
        <v>0</v>
      </c>
      <c r="F23" s="162">
        <f t="shared" si="1"/>
        <v>14.058252</v>
      </c>
      <c r="G23" s="338"/>
      <c r="H23" s="338">
        <v>90117</v>
      </c>
      <c r="K23" s="388">
        <v>0</v>
      </c>
      <c r="N23" s="436">
        <v>0</v>
      </c>
      <c r="O23" s="434">
        <v>0</v>
      </c>
      <c r="P23" s="435">
        <v>0</v>
      </c>
      <c r="Q23" s="435">
        <v>0</v>
      </c>
    </row>
    <row r="24" spans="1:17" ht="24.75" customHeight="1">
      <c r="A24" s="158" t="s">
        <v>172</v>
      </c>
      <c r="B24" s="160">
        <v>0</v>
      </c>
      <c r="C24" s="160">
        <v>0</v>
      </c>
      <c r="D24" s="159">
        <v>0</v>
      </c>
      <c r="E24" s="159">
        <v>0</v>
      </c>
      <c r="F24" s="162">
        <f t="shared" si="1"/>
        <v>13.712244</v>
      </c>
      <c r="G24" s="338"/>
      <c r="H24" s="338">
        <v>87899</v>
      </c>
      <c r="K24" s="388">
        <v>0</v>
      </c>
      <c r="N24" s="436">
        <v>0</v>
      </c>
      <c r="O24" s="434">
        <v>0</v>
      </c>
      <c r="P24" s="435">
        <v>0</v>
      </c>
      <c r="Q24" s="435">
        <v>0</v>
      </c>
    </row>
    <row r="25" spans="1:17" ht="24.75" customHeight="1">
      <c r="A25" s="182" t="s">
        <v>173</v>
      </c>
      <c r="B25" s="160">
        <v>0</v>
      </c>
      <c r="C25" s="160">
        <v>0</v>
      </c>
      <c r="D25" s="159">
        <v>0</v>
      </c>
      <c r="E25" s="159">
        <v>0</v>
      </c>
      <c r="F25" s="162">
        <f t="shared" si="1"/>
        <v>29.521908</v>
      </c>
      <c r="G25" s="338"/>
      <c r="H25" s="338">
        <v>189243</v>
      </c>
      <c r="K25" s="388">
        <v>0</v>
      </c>
      <c r="N25" s="436">
        <v>0</v>
      </c>
      <c r="O25" s="434">
        <v>0</v>
      </c>
      <c r="P25" s="435">
        <v>0</v>
      </c>
      <c r="Q25" s="435">
        <v>0</v>
      </c>
    </row>
    <row r="26" spans="1:17" ht="24.75" customHeight="1">
      <c r="A26" s="12">
        <v>2025</v>
      </c>
      <c r="B26" s="186">
        <f>SUM(B9:B25)</f>
        <v>36.85</v>
      </c>
      <c r="C26" s="186">
        <f t="shared" ref="C26:F26" si="2">SUM(C9:C25)</f>
        <v>11.09</v>
      </c>
      <c r="D26" s="186">
        <f t="shared" si="2"/>
        <v>111.99999999999999</v>
      </c>
      <c r="E26" s="186">
        <f t="shared" si="2"/>
        <v>2642.96451914099</v>
      </c>
      <c r="F26" s="186">
        <f t="shared" si="2"/>
        <v>318.72001199999994</v>
      </c>
    </row>
    <row r="27" spans="1:17" ht="24.75" customHeight="1">
      <c r="A27" s="12">
        <f t="shared" ref="A27:A30" si="3">A26-1</f>
        <v>2024</v>
      </c>
      <c r="B27" s="167">
        <v>37.589999999999996</v>
      </c>
      <c r="C27" s="167">
        <v>11.84</v>
      </c>
      <c r="D27" s="167">
        <v>60.31</v>
      </c>
      <c r="E27" s="187">
        <v>50.9375</v>
      </c>
      <c r="F27" s="188">
        <v>215.19088857916915</v>
      </c>
    </row>
    <row r="28" spans="1:17" ht="24.75" customHeight="1">
      <c r="A28" s="12">
        <f t="shared" si="3"/>
        <v>2023</v>
      </c>
      <c r="B28" s="169">
        <v>39.18</v>
      </c>
      <c r="C28" s="169">
        <v>10.7</v>
      </c>
      <c r="D28" s="169">
        <v>62.397000000000006</v>
      </c>
      <c r="E28" s="170">
        <v>42.909672727272728</v>
      </c>
      <c r="F28" s="171">
        <v>213.44097462547023</v>
      </c>
    </row>
    <row r="29" spans="1:17" ht="24.75" customHeight="1">
      <c r="A29" s="12">
        <f t="shared" si="3"/>
        <v>2022</v>
      </c>
      <c r="B29" s="169">
        <v>40.659999999999997</v>
      </c>
      <c r="C29" s="169">
        <v>16.55</v>
      </c>
      <c r="D29" s="169">
        <v>37.935000000000002</v>
      </c>
      <c r="E29" s="170">
        <v>24.971876440756109</v>
      </c>
      <c r="F29" s="171">
        <v>210.27865392611605</v>
      </c>
    </row>
    <row r="30" spans="1:17" ht="24.75" customHeight="1">
      <c r="A30" s="12">
        <f t="shared" si="3"/>
        <v>2021</v>
      </c>
      <c r="B30" s="169">
        <v>39.92</v>
      </c>
      <c r="C30" s="169">
        <v>13.79</v>
      </c>
      <c r="D30" s="169">
        <v>87.199999999999989</v>
      </c>
      <c r="E30" s="170">
        <v>63.234227701232768</v>
      </c>
      <c r="F30" s="171">
        <v>208.44563884559997</v>
      </c>
    </row>
    <row r="31" spans="1:17" ht="14.25" customHeight="1">
      <c r="A31" s="172"/>
      <c r="B31" s="169"/>
      <c r="C31" s="169"/>
      <c r="D31" s="169"/>
      <c r="E31" s="170"/>
      <c r="F31" s="171"/>
    </row>
    <row r="32" spans="1:17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1000"/>
  <sheetViews>
    <sheetView topLeftCell="A16" workbookViewId="0">
      <selection activeCell="B26" sqref="B26:F26"/>
    </sheetView>
  </sheetViews>
  <sheetFormatPr defaultColWidth="14.42578125" defaultRowHeight="15" customHeight="1"/>
  <cols>
    <col min="1" max="1" width="23.85546875" customWidth="1"/>
    <col min="2" max="4" width="8.7109375" customWidth="1"/>
    <col min="5" max="5" width="10" customWidth="1"/>
    <col min="6" max="11" width="8.7109375" customWidth="1"/>
    <col min="12" max="12" width="11.5703125" customWidth="1"/>
    <col min="13" max="13" width="15" customWidth="1"/>
    <col min="14" max="26" width="8.7109375" customWidth="1"/>
  </cols>
  <sheetData>
    <row r="1" spans="1:17" ht="14.25" customHeight="1">
      <c r="A1" s="429" t="s">
        <v>239</v>
      </c>
      <c r="B1" s="423"/>
      <c r="C1" s="423"/>
      <c r="D1" s="423"/>
      <c r="E1" s="423"/>
      <c r="F1" s="423"/>
    </row>
    <row r="2" spans="1:17" ht="14.25" customHeight="1">
      <c r="A2" s="429" t="s">
        <v>240</v>
      </c>
      <c r="B2" s="423"/>
      <c r="C2" s="423"/>
      <c r="D2" s="423"/>
      <c r="E2" s="423"/>
      <c r="F2" s="423"/>
    </row>
    <row r="3" spans="1:17" ht="14.25" customHeight="1">
      <c r="A3" s="429" t="s">
        <v>102</v>
      </c>
      <c r="B3" s="423"/>
      <c r="C3" s="423"/>
      <c r="D3" s="423"/>
      <c r="E3" s="423"/>
      <c r="F3" s="423"/>
    </row>
    <row r="4" spans="1:17" ht="14.25" customHeight="1">
      <c r="A4" s="137"/>
      <c r="B4" s="141"/>
      <c r="C4" s="122"/>
      <c r="D4" s="122"/>
      <c r="E4" s="123"/>
      <c r="F4" s="122"/>
    </row>
    <row r="5" spans="1:17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7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7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7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14">
        <f>I8/1000</f>
        <v>1.56E-4</v>
      </c>
      <c r="I8">
        <f>J8*52</f>
        <v>0.156</v>
      </c>
      <c r="J8" s="378">
        <v>3.0000000000000001E-3</v>
      </c>
      <c r="K8" s="394" t="s">
        <v>262</v>
      </c>
      <c r="L8" s="394" t="s">
        <v>260</v>
      </c>
      <c r="M8" s="394" t="s">
        <v>263</v>
      </c>
      <c r="N8" s="397" t="s">
        <v>264</v>
      </c>
      <c r="O8" s="403" t="s">
        <v>265</v>
      </c>
      <c r="P8" s="403" t="s">
        <v>266</v>
      </c>
      <c r="Q8" s="403" t="s">
        <v>267</v>
      </c>
    </row>
    <row r="9" spans="1:17" ht="24.75" customHeight="1">
      <c r="A9" s="158" t="s">
        <v>157</v>
      </c>
      <c r="B9" s="159">
        <f>1700/100</f>
        <v>17</v>
      </c>
      <c r="C9" s="160">
        <f>1500/100</f>
        <v>15</v>
      </c>
      <c r="D9" s="159">
        <f>4020.2/10</f>
        <v>402.02</v>
      </c>
      <c r="E9" s="313">
        <f>(D9*10)/C9</f>
        <v>268.01333333333332</v>
      </c>
      <c r="F9" s="162">
        <f>$H$8*H9</f>
        <v>10.15326</v>
      </c>
      <c r="G9" s="338"/>
      <c r="H9" s="338">
        <v>65085</v>
      </c>
      <c r="K9" s="389">
        <v>4020.2</v>
      </c>
      <c r="L9">
        <v>1500</v>
      </c>
      <c r="M9" s="406">
        <v>1700</v>
      </c>
      <c r="N9">
        <v>1700</v>
      </c>
      <c r="O9">
        <v>1700</v>
      </c>
      <c r="P9">
        <v>1700</v>
      </c>
      <c r="Q9">
        <v>1700</v>
      </c>
    </row>
    <row r="10" spans="1:17" ht="24.75" customHeight="1">
      <c r="A10" s="158" t="s">
        <v>158</v>
      </c>
      <c r="B10" s="159">
        <f>435/100</f>
        <v>4.3499999999999996</v>
      </c>
      <c r="C10" s="160">
        <f>223/100</f>
        <v>2.23</v>
      </c>
      <c r="D10" s="159">
        <f>147/10</f>
        <v>14.7</v>
      </c>
      <c r="E10" s="313">
        <f t="shared" ref="E10:E25" si="0">(D10*10)/C10</f>
        <v>65.919282511210767</v>
      </c>
      <c r="F10" s="162">
        <f t="shared" ref="F10:F25" si="1">$H$8*H10</f>
        <v>16.695588000000001</v>
      </c>
      <c r="G10" s="338"/>
      <c r="H10" s="338">
        <v>107023</v>
      </c>
      <c r="K10" s="389">
        <v>147</v>
      </c>
      <c r="L10">
        <v>223</v>
      </c>
      <c r="M10" s="406">
        <v>435</v>
      </c>
      <c r="N10">
        <v>435</v>
      </c>
      <c r="O10">
        <v>435</v>
      </c>
      <c r="P10">
        <v>435</v>
      </c>
      <c r="Q10">
        <v>435</v>
      </c>
    </row>
    <row r="11" spans="1:17" ht="24.75" customHeight="1">
      <c r="A11" s="158" t="s">
        <v>159</v>
      </c>
      <c r="B11" s="159">
        <f>662/100</f>
        <v>6.62</v>
      </c>
      <c r="C11" s="160">
        <f>543/100</f>
        <v>5.43</v>
      </c>
      <c r="D11" s="159">
        <f>297/10</f>
        <v>29.7</v>
      </c>
      <c r="E11" s="313">
        <f t="shared" si="0"/>
        <v>54.696132596685082</v>
      </c>
      <c r="F11" s="162">
        <f t="shared" si="1"/>
        <v>18.282888</v>
      </c>
      <c r="G11" s="338"/>
      <c r="H11" s="338">
        <v>117198</v>
      </c>
      <c r="K11" s="389">
        <v>296.94</v>
      </c>
      <c r="L11">
        <v>543</v>
      </c>
      <c r="M11" s="406">
        <v>662</v>
      </c>
      <c r="N11">
        <v>662</v>
      </c>
      <c r="O11">
        <v>662</v>
      </c>
      <c r="P11">
        <v>662</v>
      </c>
      <c r="Q11">
        <v>649</v>
      </c>
    </row>
    <row r="12" spans="1:17" ht="24.75" customHeight="1">
      <c r="A12" s="158" t="s">
        <v>160</v>
      </c>
      <c r="B12" s="159">
        <f>6594/100</f>
        <v>65.94</v>
      </c>
      <c r="C12" s="160">
        <f>2886/100</f>
        <v>28.86</v>
      </c>
      <c r="D12" s="159">
        <f>821/10</f>
        <v>82.1</v>
      </c>
      <c r="E12" s="313">
        <f t="shared" si="0"/>
        <v>28.447678447678449</v>
      </c>
      <c r="F12" s="162">
        <f t="shared" si="1"/>
        <v>18.173376000000001</v>
      </c>
      <c r="G12" s="338"/>
      <c r="H12" s="338">
        <v>116496</v>
      </c>
      <c r="K12" s="389">
        <v>821.15000000000009</v>
      </c>
      <c r="L12">
        <v>2886</v>
      </c>
      <c r="M12" s="406">
        <v>6594</v>
      </c>
      <c r="N12">
        <v>6624</v>
      </c>
      <c r="O12">
        <v>6594</v>
      </c>
      <c r="P12">
        <v>6553</v>
      </c>
      <c r="Q12">
        <v>6525</v>
      </c>
    </row>
    <row r="13" spans="1:17" ht="24.75" customHeight="1">
      <c r="A13" s="158" t="s">
        <v>161</v>
      </c>
      <c r="B13" s="159">
        <f>1255/100</f>
        <v>12.55</v>
      </c>
      <c r="C13" s="160">
        <f>587/100</f>
        <v>5.87</v>
      </c>
      <c r="D13" s="159">
        <f>28800/10</f>
        <v>2880</v>
      </c>
      <c r="E13" s="313">
        <f t="shared" si="0"/>
        <v>4906.3032367972746</v>
      </c>
      <c r="F13" s="162">
        <f t="shared" si="1"/>
        <v>11.233248</v>
      </c>
      <c r="G13" s="338"/>
      <c r="H13" s="338">
        <v>72008</v>
      </c>
      <c r="K13" s="389">
        <v>28800</v>
      </c>
      <c r="L13">
        <v>587</v>
      </c>
      <c r="M13" s="406">
        <v>1255</v>
      </c>
      <c r="N13">
        <v>1226</v>
      </c>
      <c r="O13">
        <v>1226</v>
      </c>
      <c r="P13">
        <v>1226</v>
      </c>
      <c r="Q13">
        <v>1255</v>
      </c>
    </row>
    <row r="14" spans="1:17" ht="24.75" customHeight="1">
      <c r="A14" s="158" t="s">
        <v>162</v>
      </c>
      <c r="B14" s="159">
        <f>417/100</f>
        <v>4.17</v>
      </c>
      <c r="C14" s="160">
        <f>66/100</f>
        <v>0.66</v>
      </c>
      <c r="D14" s="159">
        <v>0.41000000000000003</v>
      </c>
      <c r="E14" s="313">
        <f t="shared" si="0"/>
        <v>6.2121212121212128</v>
      </c>
      <c r="F14" s="162">
        <f t="shared" si="1"/>
        <v>12.412139999999999</v>
      </c>
      <c r="G14" s="338"/>
      <c r="H14" s="338">
        <v>79565</v>
      </c>
      <c r="K14" s="389">
        <v>0.41000000000000003</v>
      </c>
      <c r="L14">
        <v>66</v>
      </c>
      <c r="M14" s="406">
        <v>417</v>
      </c>
      <c r="N14">
        <v>417</v>
      </c>
      <c r="O14">
        <v>413</v>
      </c>
      <c r="P14">
        <v>413</v>
      </c>
      <c r="Q14">
        <v>412</v>
      </c>
    </row>
    <row r="15" spans="1:17" ht="24.75" customHeight="1">
      <c r="A15" s="158" t="s">
        <v>163</v>
      </c>
      <c r="B15" s="159">
        <f>89/100</f>
        <v>0.89</v>
      </c>
      <c r="C15" s="160">
        <f>89/100</f>
        <v>0.89</v>
      </c>
      <c r="D15" s="159">
        <f>188/10</f>
        <v>18.8</v>
      </c>
      <c r="E15" s="313">
        <f t="shared" si="0"/>
        <v>211.23595505617976</v>
      </c>
      <c r="F15" s="162">
        <f t="shared" si="1"/>
        <v>25.427531999999999</v>
      </c>
      <c r="G15" s="338"/>
      <c r="H15" s="338">
        <v>162997</v>
      </c>
      <c r="K15" s="389">
        <v>188</v>
      </c>
      <c r="L15">
        <v>89</v>
      </c>
      <c r="M15" s="406">
        <v>89</v>
      </c>
      <c r="N15">
        <v>89</v>
      </c>
      <c r="O15">
        <v>89</v>
      </c>
      <c r="P15">
        <v>89</v>
      </c>
      <c r="Q15">
        <v>89</v>
      </c>
    </row>
    <row r="16" spans="1:17" ht="24.75" customHeight="1">
      <c r="A16" s="158" t="s">
        <v>164</v>
      </c>
      <c r="B16" s="159">
        <f>990/100</f>
        <v>9.9</v>
      </c>
      <c r="C16" s="160">
        <f>880/100</f>
        <v>8.8000000000000007</v>
      </c>
      <c r="D16" s="159">
        <f>297/10</f>
        <v>29.7</v>
      </c>
      <c r="E16" s="313">
        <f t="shared" si="0"/>
        <v>33.75</v>
      </c>
      <c r="F16" s="162">
        <f t="shared" si="1"/>
        <v>22.906103999999999</v>
      </c>
      <c r="G16" s="338"/>
      <c r="H16" s="338">
        <v>146834</v>
      </c>
      <c r="K16" s="389">
        <v>297</v>
      </c>
      <c r="L16">
        <v>880</v>
      </c>
      <c r="M16" s="406">
        <v>990</v>
      </c>
      <c r="N16">
        <v>990</v>
      </c>
      <c r="O16">
        <v>970</v>
      </c>
      <c r="P16">
        <v>950</v>
      </c>
      <c r="Q16">
        <v>900</v>
      </c>
    </row>
    <row r="17" spans="1:17" ht="24.75" customHeight="1">
      <c r="A17" s="158" t="s">
        <v>165</v>
      </c>
      <c r="B17" s="159">
        <f>3215/100</f>
        <v>32.15</v>
      </c>
      <c r="C17" s="160">
        <f>2301/100</f>
        <v>23.01</v>
      </c>
      <c r="D17" s="159">
        <f>3936/10</f>
        <v>393.6</v>
      </c>
      <c r="E17" s="313">
        <f t="shared" si="0"/>
        <v>171.05606258148629</v>
      </c>
      <c r="F17" s="162">
        <f t="shared" si="1"/>
        <v>20.673120000000001</v>
      </c>
      <c r="G17" s="338"/>
      <c r="H17" s="338">
        <v>132520</v>
      </c>
      <c r="K17" s="389">
        <v>3936</v>
      </c>
      <c r="L17">
        <v>2301</v>
      </c>
      <c r="M17" s="406">
        <v>3215</v>
      </c>
      <c r="N17">
        <v>3215</v>
      </c>
      <c r="O17">
        <v>3157</v>
      </c>
      <c r="P17">
        <v>3078</v>
      </c>
      <c r="Q17">
        <v>2995</v>
      </c>
    </row>
    <row r="18" spans="1:17" ht="24.75" customHeight="1">
      <c r="A18" s="158" t="s">
        <v>166</v>
      </c>
      <c r="B18" s="159">
        <f>3666/100</f>
        <v>36.659999999999997</v>
      </c>
      <c r="C18" s="160">
        <f>1192/100</f>
        <v>11.92</v>
      </c>
      <c r="D18" s="159">
        <f>6824.37/10</f>
        <v>682.43700000000001</v>
      </c>
      <c r="E18" s="313">
        <f t="shared" si="0"/>
        <v>572.51426174496646</v>
      </c>
      <c r="F18" s="162">
        <f t="shared" si="1"/>
        <v>22.373832</v>
      </c>
      <c r="G18" s="338"/>
      <c r="H18" s="338">
        <v>143422</v>
      </c>
      <c r="K18" s="389">
        <v>6824.37</v>
      </c>
      <c r="L18">
        <v>1192</v>
      </c>
      <c r="M18" s="406">
        <v>3666</v>
      </c>
      <c r="N18">
        <v>3666</v>
      </c>
      <c r="O18">
        <v>3623</v>
      </c>
      <c r="P18">
        <v>3616</v>
      </c>
      <c r="Q18">
        <v>3473</v>
      </c>
    </row>
    <row r="19" spans="1:17" ht="24.75" customHeight="1">
      <c r="A19" s="158" t="s">
        <v>167</v>
      </c>
      <c r="B19" s="159">
        <f>210/100</f>
        <v>2.1</v>
      </c>
      <c r="C19" s="160">
        <f>205/100</f>
        <v>2.0499999999999998</v>
      </c>
      <c r="D19" s="159">
        <f>400.7/10</f>
        <v>40.07</v>
      </c>
      <c r="E19" s="313">
        <f t="shared" si="0"/>
        <v>195.46341463414635</v>
      </c>
      <c r="F19" s="162">
        <f t="shared" si="1"/>
        <v>16.959384</v>
      </c>
      <c r="G19" s="338"/>
      <c r="H19" s="338">
        <v>108714</v>
      </c>
      <c r="K19" s="389">
        <v>400.7</v>
      </c>
      <c r="L19">
        <v>205</v>
      </c>
      <c r="M19" s="406">
        <v>210</v>
      </c>
      <c r="N19">
        <v>210</v>
      </c>
      <c r="O19">
        <v>210</v>
      </c>
      <c r="P19">
        <v>210</v>
      </c>
      <c r="Q19">
        <v>210</v>
      </c>
    </row>
    <row r="20" spans="1:17" ht="24.75" customHeight="1">
      <c r="A20" s="158" t="s">
        <v>168</v>
      </c>
      <c r="B20" s="159">
        <f>140/100</f>
        <v>1.4</v>
      </c>
      <c r="C20" s="160">
        <f>105/100</f>
        <v>1.05</v>
      </c>
      <c r="D20" s="159">
        <f>248/10</f>
        <v>24.8</v>
      </c>
      <c r="E20" s="313">
        <f t="shared" si="0"/>
        <v>236.19047619047618</v>
      </c>
      <c r="F20" s="162">
        <f t="shared" si="1"/>
        <v>10.902528</v>
      </c>
      <c r="G20" s="338"/>
      <c r="H20" s="338">
        <v>69888</v>
      </c>
      <c r="K20" s="389">
        <v>248</v>
      </c>
      <c r="L20">
        <v>105</v>
      </c>
      <c r="M20" s="406">
        <v>140</v>
      </c>
      <c r="N20">
        <v>140</v>
      </c>
      <c r="O20">
        <v>112</v>
      </c>
      <c r="P20">
        <v>90</v>
      </c>
      <c r="Q20">
        <v>72</v>
      </c>
    </row>
    <row r="21" spans="1:17" ht="24.75" customHeight="1">
      <c r="A21" s="158" t="s">
        <v>169</v>
      </c>
      <c r="B21" s="159">
        <f>9/100</f>
        <v>0.09</v>
      </c>
      <c r="C21" s="160">
        <f>4/100</f>
        <v>0.04</v>
      </c>
      <c r="D21" s="159">
        <f>9.33/10</f>
        <v>0.93300000000000005</v>
      </c>
      <c r="E21" s="313">
        <f t="shared" si="0"/>
        <v>233.25</v>
      </c>
      <c r="F21" s="162">
        <f t="shared" si="1"/>
        <v>29.100083999999999</v>
      </c>
      <c r="G21" s="338"/>
      <c r="H21" s="338">
        <v>186539</v>
      </c>
      <c r="K21" s="389">
        <v>9.33</v>
      </c>
      <c r="L21">
        <v>4</v>
      </c>
      <c r="M21" s="406">
        <v>9</v>
      </c>
      <c r="N21">
        <v>9</v>
      </c>
      <c r="O21">
        <v>9</v>
      </c>
      <c r="P21">
        <v>8</v>
      </c>
      <c r="Q21">
        <v>6</v>
      </c>
    </row>
    <row r="22" spans="1:17" ht="24.75" customHeight="1">
      <c r="A22" s="158" t="s">
        <v>170</v>
      </c>
      <c r="B22" s="159">
        <f>415/100</f>
        <v>4.1500000000000004</v>
      </c>
      <c r="C22" s="160">
        <f>235/100</f>
        <v>2.35</v>
      </c>
      <c r="D22" s="159">
        <f>23.26/10</f>
        <v>2.3260000000000001</v>
      </c>
      <c r="E22" s="313">
        <f t="shared" si="0"/>
        <v>9.8978723404255327</v>
      </c>
      <c r="F22" s="162">
        <f t="shared" si="1"/>
        <v>26.134523999999999</v>
      </c>
      <c r="G22" s="338"/>
      <c r="H22" s="338">
        <v>167529</v>
      </c>
      <c r="K22" s="389">
        <v>23.26</v>
      </c>
      <c r="L22">
        <v>235</v>
      </c>
      <c r="M22" s="406">
        <v>415</v>
      </c>
      <c r="N22">
        <v>415</v>
      </c>
      <c r="O22">
        <v>383</v>
      </c>
      <c r="P22">
        <v>343</v>
      </c>
      <c r="Q22">
        <v>320</v>
      </c>
    </row>
    <row r="23" spans="1:17" ht="24.75" customHeight="1">
      <c r="A23" s="158" t="s">
        <v>171</v>
      </c>
      <c r="B23" s="159">
        <f>100/100</f>
        <v>1</v>
      </c>
      <c r="C23" s="160">
        <f>72/100</f>
        <v>0.72</v>
      </c>
      <c r="D23" s="159">
        <f>271.61/10</f>
        <v>27.161000000000001</v>
      </c>
      <c r="E23" s="313">
        <f t="shared" si="0"/>
        <v>377.23611111111114</v>
      </c>
      <c r="F23" s="162">
        <f t="shared" si="1"/>
        <v>14.058252</v>
      </c>
      <c r="G23" s="338"/>
      <c r="H23" s="338">
        <v>90117</v>
      </c>
      <c r="K23" s="389">
        <v>271.61</v>
      </c>
      <c r="L23">
        <v>72</v>
      </c>
      <c r="M23" s="406">
        <v>100</v>
      </c>
      <c r="N23">
        <v>100</v>
      </c>
      <c r="O23">
        <v>95</v>
      </c>
      <c r="P23">
        <v>95</v>
      </c>
      <c r="Q23">
        <v>90</v>
      </c>
    </row>
    <row r="24" spans="1:17" ht="24.75" customHeight="1">
      <c r="A24" s="158" t="s">
        <v>172</v>
      </c>
      <c r="B24" s="159">
        <f>410/100</f>
        <v>4.0999999999999996</v>
      </c>
      <c r="C24" s="160">
        <f>260/100</f>
        <v>2.6</v>
      </c>
      <c r="D24" s="159">
        <f>273/10</f>
        <v>27.3</v>
      </c>
      <c r="E24" s="313">
        <f t="shared" si="0"/>
        <v>105</v>
      </c>
      <c r="F24" s="162">
        <f t="shared" si="1"/>
        <v>13.712244</v>
      </c>
      <c r="G24" s="338"/>
      <c r="H24" s="338">
        <v>87899</v>
      </c>
      <c r="K24" s="389">
        <v>273</v>
      </c>
      <c r="L24">
        <v>260</v>
      </c>
      <c r="M24" s="406">
        <v>410</v>
      </c>
      <c r="N24">
        <v>410</v>
      </c>
      <c r="O24">
        <v>410</v>
      </c>
      <c r="P24">
        <v>410</v>
      </c>
      <c r="Q24">
        <v>410</v>
      </c>
    </row>
    <row r="25" spans="1:17" ht="24.75" customHeight="1">
      <c r="A25" s="182" t="s">
        <v>173</v>
      </c>
      <c r="B25" s="183">
        <f>31/100</f>
        <v>0.31</v>
      </c>
      <c r="C25" s="184">
        <f>8/100</f>
        <v>0.08</v>
      </c>
      <c r="D25" s="183">
        <f>42/10</f>
        <v>4.2</v>
      </c>
      <c r="E25" s="313">
        <f t="shared" si="0"/>
        <v>525</v>
      </c>
      <c r="F25" s="162">
        <f t="shared" si="1"/>
        <v>29.521908</v>
      </c>
      <c r="G25" s="338"/>
      <c r="H25" s="338">
        <v>189243</v>
      </c>
      <c r="K25" s="389">
        <v>42</v>
      </c>
      <c r="L25">
        <v>8</v>
      </c>
      <c r="M25">
        <v>31</v>
      </c>
      <c r="N25" s="406">
        <v>31</v>
      </c>
      <c r="O25">
        <v>31</v>
      </c>
      <c r="P25">
        <v>31</v>
      </c>
      <c r="Q25">
        <v>31</v>
      </c>
    </row>
    <row r="26" spans="1:17" ht="24.75" customHeight="1">
      <c r="A26" s="12">
        <v>2025</v>
      </c>
      <c r="B26" s="186">
        <f>SUM(B9:B25)</f>
        <v>203.38</v>
      </c>
      <c r="C26" s="186">
        <f t="shared" ref="C26:F26" si="2">SUM(C9:C25)</f>
        <v>111.55999999999999</v>
      </c>
      <c r="D26" s="186">
        <f t="shared" si="2"/>
        <v>4660.2569999999996</v>
      </c>
      <c r="E26" s="186">
        <f t="shared" si="2"/>
        <v>8000.1859385570942</v>
      </c>
      <c r="F26" s="186">
        <f t="shared" si="2"/>
        <v>318.72001199999994</v>
      </c>
    </row>
    <row r="27" spans="1:17" ht="24.75" customHeight="1">
      <c r="A27" s="12">
        <f t="shared" ref="A27:A30" si="3">A26-1</f>
        <v>2024</v>
      </c>
      <c r="B27" s="167">
        <v>211.11</v>
      </c>
      <c r="C27" s="167">
        <v>111.58000000000001</v>
      </c>
      <c r="D27" s="167">
        <v>1652.5970000000002</v>
      </c>
      <c r="E27" s="187">
        <v>148.10871123857322</v>
      </c>
      <c r="F27" s="188">
        <v>432.45092031775147</v>
      </c>
    </row>
    <row r="28" spans="1:17" ht="24.75" customHeight="1">
      <c r="A28" s="12">
        <f t="shared" si="3"/>
        <v>2023</v>
      </c>
      <c r="B28" s="169">
        <v>225.49999999999997</v>
      </c>
      <c r="C28" s="169">
        <v>96.239999999999981</v>
      </c>
      <c r="D28" s="169">
        <v>1124.4089999999999</v>
      </c>
      <c r="E28" s="170">
        <v>151.34496547941831</v>
      </c>
      <c r="F28" s="171">
        <v>428.93426631464695</v>
      </c>
    </row>
    <row r="29" spans="1:17" ht="24.75" customHeight="1">
      <c r="A29" s="12">
        <f t="shared" si="3"/>
        <v>2022</v>
      </c>
      <c r="B29" s="169">
        <v>245.87</v>
      </c>
      <c r="C29" s="169">
        <v>129.19</v>
      </c>
      <c r="D29" s="169">
        <v>783.60800000000017</v>
      </c>
      <c r="E29" s="170">
        <v>113.79627284811714</v>
      </c>
      <c r="F29" s="171">
        <v>422.57921798613711</v>
      </c>
    </row>
    <row r="30" spans="1:17" ht="24.75" customHeight="1">
      <c r="A30" s="12">
        <f t="shared" si="3"/>
        <v>2021</v>
      </c>
      <c r="B30" s="169">
        <v>259.64999999999998</v>
      </c>
      <c r="C30" s="169">
        <v>131.49</v>
      </c>
      <c r="D30" s="169">
        <v>1275</v>
      </c>
      <c r="E30" s="170">
        <v>96.965548710928587</v>
      </c>
      <c r="F30" s="171">
        <v>418.89556268009994</v>
      </c>
    </row>
    <row r="31" spans="1:17" ht="14.25" customHeight="1">
      <c r="A31" s="172"/>
      <c r="B31" s="169"/>
      <c r="C31" s="169"/>
      <c r="D31" s="169"/>
      <c r="E31" s="170"/>
      <c r="F31" s="171"/>
    </row>
    <row r="32" spans="1:17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1000"/>
  <sheetViews>
    <sheetView topLeftCell="A19" workbookViewId="0">
      <selection activeCell="B26" sqref="B26:F26"/>
    </sheetView>
  </sheetViews>
  <sheetFormatPr defaultColWidth="14.42578125" defaultRowHeight="15" customHeight="1"/>
  <cols>
    <col min="1" max="1" width="24" customWidth="1"/>
    <col min="2" max="4" width="8.7109375" customWidth="1"/>
    <col min="5" max="5" width="11.28515625" customWidth="1"/>
    <col min="6" max="6" width="10.5703125" customWidth="1"/>
    <col min="7" max="11" width="8.7109375" customWidth="1"/>
    <col min="12" max="12" width="12" customWidth="1"/>
    <col min="13" max="13" width="10.5703125" bestFit="1" customWidth="1"/>
    <col min="14" max="26" width="8.7109375" customWidth="1"/>
  </cols>
  <sheetData>
    <row r="1" spans="1:17" ht="14.25" customHeight="1">
      <c r="A1" s="429" t="s">
        <v>241</v>
      </c>
      <c r="B1" s="423"/>
      <c r="C1" s="423"/>
      <c r="D1" s="423"/>
      <c r="E1" s="423"/>
      <c r="F1" s="423"/>
    </row>
    <row r="2" spans="1:17" ht="14.25" customHeight="1">
      <c r="A2" s="429" t="s">
        <v>242</v>
      </c>
      <c r="B2" s="423"/>
      <c r="C2" s="423"/>
      <c r="D2" s="423"/>
      <c r="E2" s="423"/>
      <c r="F2" s="423"/>
    </row>
    <row r="3" spans="1:17" ht="14.25" customHeight="1">
      <c r="A3" s="429" t="s">
        <v>102</v>
      </c>
      <c r="B3" s="423"/>
      <c r="C3" s="423"/>
      <c r="D3" s="423"/>
      <c r="E3" s="423"/>
      <c r="F3" s="423"/>
    </row>
    <row r="4" spans="1:17" ht="14.25" customHeight="1">
      <c r="A4" s="137"/>
      <c r="B4" s="141"/>
      <c r="C4" s="122"/>
      <c r="D4" s="122"/>
      <c r="E4" s="123"/>
      <c r="F4" s="122"/>
    </row>
    <row r="5" spans="1:17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7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7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7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14">
        <f>I8/1000</f>
        <v>2.0800000000000001E-4</v>
      </c>
      <c r="I8">
        <f>J8*52</f>
        <v>0.20800000000000002</v>
      </c>
      <c r="J8" s="378">
        <v>4.0000000000000001E-3</v>
      </c>
      <c r="K8" s="394" t="s">
        <v>262</v>
      </c>
      <c r="L8" s="394" t="s">
        <v>260</v>
      </c>
      <c r="M8" s="394" t="s">
        <v>263</v>
      </c>
      <c r="N8" s="397" t="s">
        <v>264</v>
      </c>
      <c r="O8" s="403" t="s">
        <v>265</v>
      </c>
      <c r="P8" s="403" t="s">
        <v>266</v>
      </c>
      <c r="Q8" s="403" t="s">
        <v>267</v>
      </c>
    </row>
    <row r="9" spans="1:17" ht="24.75" customHeight="1">
      <c r="A9" s="158" t="s">
        <v>157</v>
      </c>
      <c r="B9" s="159">
        <f>450/100</f>
        <v>4.5</v>
      </c>
      <c r="C9" s="160">
        <f>350/100</f>
        <v>3.5</v>
      </c>
      <c r="D9" s="159">
        <f>105/10</f>
        <v>10.5</v>
      </c>
      <c r="E9" s="375">
        <f t="shared" ref="E9:E25" si="0">(D9*10)/C9</f>
        <v>30</v>
      </c>
      <c r="F9" s="162">
        <f>$H$8*H9</f>
        <v>13.537680000000002</v>
      </c>
      <c r="G9" s="338"/>
      <c r="H9" s="338">
        <v>65085</v>
      </c>
      <c r="K9">
        <v>105</v>
      </c>
      <c r="L9">
        <v>350</v>
      </c>
      <c r="N9">
        <v>450</v>
      </c>
      <c r="O9">
        <v>450</v>
      </c>
      <c r="P9">
        <v>450</v>
      </c>
      <c r="Q9">
        <v>450</v>
      </c>
    </row>
    <row r="10" spans="1:17" ht="24.75" customHeight="1">
      <c r="A10" s="158" t="s">
        <v>158</v>
      </c>
      <c r="B10" s="159">
        <f>750/100</f>
        <v>7.5</v>
      </c>
      <c r="C10" s="160">
        <f>176/100</f>
        <v>1.76</v>
      </c>
      <c r="D10" s="159">
        <f>176/10</f>
        <v>17.600000000000001</v>
      </c>
      <c r="E10" s="375">
        <f t="shared" si="0"/>
        <v>100</v>
      </c>
      <c r="F10" s="162">
        <f t="shared" ref="F10:F25" si="1">$H$8*H10</f>
        <v>22.260784000000001</v>
      </c>
      <c r="G10" s="338"/>
      <c r="H10" s="338">
        <v>107023</v>
      </c>
      <c r="K10">
        <v>176</v>
      </c>
      <c r="L10">
        <v>176</v>
      </c>
      <c r="N10">
        <v>750</v>
      </c>
      <c r="O10">
        <v>750</v>
      </c>
      <c r="P10">
        <v>750</v>
      </c>
      <c r="Q10">
        <v>739</v>
      </c>
    </row>
    <row r="11" spans="1:17" ht="24.75" customHeight="1">
      <c r="A11" s="158" t="s">
        <v>159</v>
      </c>
      <c r="B11" s="159">
        <f>175/100</f>
        <v>1.75</v>
      </c>
      <c r="C11" s="160">
        <f>83/100</f>
        <v>0.83</v>
      </c>
      <c r="D11" s="159">
        <f>75/10</f>
        <v>7.5</v>
      </c>
      <c r="E11" s="375">
        <f t="shared" si="0"/>
        <v>90.361445783132538</v>
      </c>
      <c r="F11" s="162">
        <f t="shared" si="1"/>
        <v>24.377184000000003</v>
      </c>
      <c r="G11" s="338"/>
      <c r="H11" s="338">
        <v>117198</v>
      </c>
      <c r="K11">
        <v>75</v>
      </c>
      <c r="L11">
        <v>83</v>
      </c>
      <c r="N11">
        <v>175</v>
      </c>
      <c r="O11">
        <v>162</v>
      </c>
      <c r="P11">
        <v>136</v>
      </c>
      <c r="Q11">
        <v>118</v>
      </c>
    </row>
    <row r="12" spans="1:17" ht="24.75" customHeight="1">
      <c r="A12" s="158" t="s">
        <v>160</v>
      </c>
      <c r="B12" s="159">
        <f>801/100</f>
        <v>8.01</v>
      </c>
      <c r="C12" s="160">
        <f>325/100</f>
        <v>3.25</v>
      </c>
      <c r="D12" s="159">
        <f>281/10</f>
        <v>28.1</v>
      </c>
      <c r="E12" s="375">
        <f t="shared" si="0"/>
        <v>86.461538461538467</v>
      </c>
      <c r="F12" s="162">
        <f t="shared" si="1"/>
        <v>24.231168</v>
      </c>
      <c r="G12" s="338"/>
      <c r="H12" s="338">
        <v>116496</v>
      </c>
      <c r="K12">
        <v>281.13</v>
      </c>
      <c r="L12">
        <v>325</v>
      </c>
      <c r="N12">
        <v>801</v>
      </c>
      <c r="O12">
        <v>793</v>
      </c>
      <c r="P12">
        <v>781</v>
      </c>
      <c r="Q12">
        <v>755</v>
      </c>
    </row>
    <row r="13" spans="1:17" ht="24.75" customHeight="1">
      <c r="A13" s="158" t="s">
        <v>161</v>
      </c>
      <c r="B13" s="159">
        <f>95/100</f>
        <v>0.95</v>
      </c>
      <c r="C13" s="160">
        <f>34/100</f>
        <v>0.34</v>
      </c>
      <c r="D13" s="159">
        <f>48/10</f>
        <v>4.8</v>
      </c>
      <c r="E13" s="375">
        <f t="shared" si="0"/>
        <v>141.17647058823528</v>
      </c>
      <c r="F13" s="162">
        <f t="shared" si="1"/>
        <v>14.977664000000001</v>
      </c>
      <c r="G13" s="338"/>
      <c r="H13" s="338">
        <v>72008</v>
      </c>
      <c r="K13">
        <v>48</v>
      </c>
      <c r="L13">
        <v>34</v>
      </c>
      <c r="N13">
        <v>95</v>
      </c>
      <c r="O13">
        <v>95</v>
      </c>
      <c r="P13">
        <v>95</v>
      </c>
      <c r="Q13">
        <v>95</v>
      </c>
    </row>
    <row r="14" spans="1:17" ht="24.75" customHeight="1">
      <c r="A14" s="158" t="s">
        <v>162</v>
      </c>
      <c r="B14" s="159">
        <f>484/100</f>
        <v>4.84</v>
      </c>
      <c r="C14" s="160">
        <f>82/100</f>
        <v>0.82</v>
      </c>
      <c r="D14" s="159">
        <f>66/10</f>
        <v>6.6</v>
      </c>
      <c r="E14" s="375">
        <f t="shared" si="0"/>
        <v>80.487804878048792</v>
      </c>
      <c r="F14" s="162">
        <f t="shared" si="1"/>
        <v>16.549520000000001</v>
      </c>
      <c r="G14" s="338"/>
      <c r="H14" s="338">
        <v>79565</v>
      </c>
      <c r="K14">
        <v>65.599999999999994</v>
      </c>
      <c r="L14">
        <v>82</v>
      </c>
      <c r="N14">
        <v>484</v>
      </c>
      <c r="O14">
        <v>469</v>
      </c>
      <c r="P14">
        <v>469</v>
      </c>
      <c r="Q14">
        <v>465</v>
      </c>
    </row>
    <row r="15" spans="1:17" ht="24.75" customHeight="1">
      <c r="A15" s="158" t="s">
        <v>163</v>
      </c>
      <c r="B15" s="159">
        <f>1070/100</f>
        <v>10.7</v>
      </c>
      <c r="C15" s="160">
        <f>1070/100</f>
        <v>10.7</v>
      </c>
      <c r="D15" s="159">
        <f>866/10</f>
        <v>86.6</v>
      </c>
      <c r="E15" s="375">
        <f t="shared" si="0"/>
        <v>80.934579439252346</v>
      </c>
      <c r="F15" s="162">
        <f t="shared" si="1"/>
        <v>33.903376000000002</v>
      </c>
      <c r="G15" s="338"/>
      <c r="H15" s="338">
        <v>162997</v>
      </c>
      <c r="K15">
        <v>866</v>
      </c>
      <c r="L15">
        <v>1070</v>
      </c>
      <c r="N15">
        <v>1070</v>
      </c>
      <c r="O15">
        <v>1050</v>
      </c>
      <c r="P15">
        <v>1000</v>
      </c>
      <c r="Q15">
        <v>920</v>
      </c>
    </row>
    <row r="16" spans="1:17" ht="24.75" customHeight="1">
      <c r="A16" s="158" t="s">
        <v>164</v>
      </c>
      <c r="B16" s="159">
        <f>90/100</f>
        <v>0.9</v>
      </c>
      <c r="C16" s="160">
        <f>70/100</f>
        <v>0.7</v>
      </c>
      <c r="D16" s="159">
        <f>84/10</f>
        <v>8.4</v>
      </c>
      <c r="E16" s="375">
        <f t="shared" si="0"/>
        <v>120.00000000000001</v>
      </c>
      <c r="F16" s="162">
        <f t="shared" si="1"/>
        <v>30.541472000000002</v>
      </c>
      <c r="G16" s="338"/>
      <c r="H16" s="338">
        <v>146834</v>
      </c>
      <c r="K16">
        <v>84</v>
      </c>
      <c r="L16">
        <v>70</v>
      </c>
      <c r="N16">
        <v>90</v>
      </c>
      <c r="O16">
        <v>80</v>
      </c>
      <c r="P16">
        <v>70</v>
      </c>
      <c r="Q16">
        <v>60</v>
      </c>
    </row>
    <row r="17" spans="1:17" ht="24.75" customHeight="1">
      <c r="A17" s="158" t="s">
        <v>165</v>
      </c>
      <c r="B17" s="159">
        <f>2429/100</f>
        <v>24.29</v>
      </c>
      <c r="C17" s="160">
        <f>1123/100</f>
        <v>11.23</v>
      </c>
      <c r="D17" s="159">
        <f>699/10</f>
        <v>69.900000000000006</v>
      </c>
      <c r="E17" s="375">
        <f t="shared" si="0"/>
        <v>62.243989314336595</v>
      </c>
      <c r="F17" s="162">
        <f t="shared" si="1"/>
        <v>27.564160000000001</v>
      </c>
      <c r="G17" s="338"/>
      <c r="H17" s="338">
        <v>132520</v>
      </c>
      <c r="L17">
        <v>1123</v>
      </c>
      <c r="N17">
        <v>2429</v>
      </c>
      <c r="O17">
        <v>2336</v>
      </c>
      <c r="P17">
        <v>2208</v>
      </c>
      <c r="Q17">
        <v>2061</v>
      </c>
    </row>
    <row r="18" spans="1:17" ht="24.75" customHeight="1">
      <c r="A18" s="158" t="s">
        <v>166</v>
      </c>
      <c r="B18" s="159">
        <f>10035/100</f>
        <v>100.35</v>
      </c>
      <c r="C18" s="160">
        <f>9708/100</f>
        <v>97.08</v>
      </c>
      <c r="D18" s="159">
        <f>3077/10</f>
        <v>307.7</v>
      </c>
      <c r="E18" s="375">
        <f t="shared" si="0"/>
        <v>31.695508858673261</v>
      </c>
      <c r="F18" s="162">
        <f t="shared" si="1"/>
        <v>29.831776000000001</v>
      </c>
      <c r="G18" s="338"/>
      <c r="H18" s="338">
        <v>143422</v>
      </c>
      <c r="K18">
        <v>3076.72</v>
      </c>
      <c r="L18">
        <v>9708</v>
      </c>
      <c r="N18">
        <v>10035</v>
      </c>
      <c r="O18">
        <v>10018</v>
      </c>
      <c r="P18">
        <v>10010</v>
      </c>
      <c r="Q18">
        <v>9989</v>
      </c>
    </row>
    <row r="19" spans="1:17" ht="24.75" customHeight="1">
      <c r="A19" s="158" t="s">
        <v>167</v>
      </c>
      <c r="B19" s="159">
        <f>115/100</f>
        <v>1.1499999999999999</v>
      </c>
      <c r="C19" s="160">
        <v>0</v>
      </c>
      <c r="D19" s="160">
        <v>0</v>
      </c>
      <c r="E19" s="160">
        <v>0</v>
      </c>
      <c r="F19" s="162">
        <f t="shared" si="1"/>
        <v>22.612512000000002</v>
      </c>
      <c r="G19" s="338"/>
      <c r="H19" s="338">
        <v>108714</v>
      </c>
      <c r="K19">
        <v>0</v>
      </c>
      <c r="N19">
        <v>115</v>
      </c>
      <c r="O19">
        <v>115</v>
      </c>
      <c r="P19">
        <v>115</v>
      </c>
      <c r="Q19">
        <v>115</v>
      </c>
    </row>
    <row r="20" spans="1:17" ht="24.75" customHeight="1">
      <c r="A20" s="158" t="s">
        <v>168</v>
      </c>
      <c r="B20" s="159">
        <f>76/100</f>
        <v>0.76</v>
      </c>
      <c r="C20" s="160">
        <f>57/100</f>
        <v>0.56999999999999995</v>
      </c>
      <c r="D20" s="159">
        <f>134/10</f>
        <v>13.4</v>
      </c>
      <c r="E20" s="375">
        <f t="shared" si="0"/>
        <v>235.08771929824564</v>
      </c>
      <c r="F20" s="162">
        <f t="shared" si="1"/>
        <v>14.536704</v>
      </c>
      <c r="G20" s="338"/>
      <c r="H20" s="338">
        <v>69888</v>
      </c>
      <c r="K20">
        <v>134</v>
      </c>
      <c r="L20">
        <v>57</v>
      </c>
      <c r="N20">
        <v>76</v>
      </c>
      <c r="O20">
        <v>60</v>
      </c>
      <c r="P20">
        <v>48</v>
      </c>
      <c r="Q20">
        <v>38</v>
      </c>
    </row>
    <row r="21" spans="1:17" ht="24.75" customHeight="1">
      <c r="A21" s="158" t="s">
        <v>169</v>
      </c>
      <c r="B21" s="159">
        <f>131/100</f>
        <v>1.31</v>
      </c>
      <c r="C21" s="160">
        <f>110/100</f>
        <v>1.1000000000000001</v>
      </c>
      <c r="D21" s="159">
        <f>217/10</f>
        <v>21.7</v>
      </c>
      <c r="E21" s="375">
        <f t="shared" si="0"/>
        <v>197.27272727272725</v>
      </c>
      <c r="F21" s="162">
        <f t="shared" si="1"/>
        <v>38.800112000000006</v>
      </c>
      <c r="G21" s="338"/>
      <c r="H21" s="338">
        <v>186539</v>
      </c>
      <c r="K21">
        <v>217.13</v>
      </c>
      <c r="L21">
        <v>110</v>
      </c>
      <c r="N21">
        <v>131</v>
      </c>
      <c r="O21">
        <v>128</v>
      </c>
      <c r="P21">
        <v>126</v>
      </c>
      <c r="Q21">
        <v>122</v>
      </c>
    </row>
    <row r="22" spans="1:17" ht="24.75" customHeight="1">
      <c r="A22" s="158" t="s">
        <v>170</v>
      </c>
      <c r="B22" s="159">
        <f>297/100</f>
        <v>2.97</v>
      </c>
      <c r="C22" s="160">
        <f>212/100</f>
        <v>2.12</v>
      </c>
      <c r="D22" s="159">
        <f>371/10</f>
        <v>37.1</v>
      </c>
      <c r="E22" s="375">
        <f t="shared" si="0"/>
        <v>175</v>
      </c>
      <c r="F22" s="162">
        <f t="shared" si="1"/>
        <v>34.846032000000001</v>
      </c>
      <c r="G22" s="338"/>
      <c r="H22" s="338">
        <v>167529</v>
      </c>
      <c r="K22">
        <v>371.20000000000005</v>
      </c>
      <c r="L22">
        <v>212</v>
      </c>
      <c r="N22">
        <v>297</v>
      </c>
      <c r="O22">
        <v>297</v>
      </c>
      <c r="P22">
        <v>297</v>
      </c>
      <c r="Q22">
        <v>276</v>
      </c>
    </row>
    <row r="23" spans="1:17" ht="24.75" customHeight="1">
      <c r="A23" s="158" t="s">
        <v>171</v>
      </c>
      <c r="B23" s="159">
        <f>108/100</f>
        <v>1.08</v>
      </c>
      <c r="C23" s="160">
        <f>65/100</f>
        <v>0.65</v>
      </c>
      <c r="D23" s="159">
        <f>1.31/10</f>
        <v>0.13100000000000001</v>
      </c>
      <c r="E23" s="375">
        <f t="shared" si="0"/>
        <v>2.0153846153846153</v>
      </c>
      <c r="F23" s="162">
        <f t="shared" si="1"/>
        <v>18.744336000000001</v>
      </c>
      <c r="G23" s="338"/>
      <c r="H23" s="338">
        <v>90117</v>
      </c>
      <c r="K23">
        <v>1.31</v>
      </c>
      <c r="L23">
        <v>65</v>
      </c>
      <c r="N23">
        <v>108</v>
      </c>
      <c r="O23">
        <v>108</v>
      </c>
      <c r="P23">
        <v>108</v>
      </c>
      <c r="Q23">
        <v>96</v>
      </c>
    </row>
    <row r="24" spans="1:17" ht="24.75" customHeight="1">
      <c r="A24" s="158" t="s">
        <v>172</v>
      </c>
      <c r="B24" s="159">
        <f>926/100</f>
        <v>9.26</v>
      </c>
      <c r="C24" s="160">
        <f>760/100</f>
        <v>7.6</v>
      </c>
      <c r="D24" s="159">
        <f>607/10</f>
        <v>60.7</v>
      </c>
      <c r="E24" s="375">
        <f t="shared" si="0"/>
        <v>79.868421052631589</v>
      </c>
      <c r="F24" s="162">
        <f t="shared" si="1"/>
        <v>18.282992</v>
      </c>
      <c r="G24" s="338"/>
      <c r="H24" s="338">
        <v>87899</v>
      </c>
      <c r="K24">
        <v>607</v>
      </c>
      <c r="L24">
        <v>760</v>
      </c>
      <c r="N24">
        <v>926</v>
      </c>
      <c r="O24">
        <v>926</v>
      </c>
      <c r="P24">
        <v>926</v>
      </c>
      <c r="Q24">
        <v>926</v>
      </c>
    </row>
    <row r="25" spans="1:17" ht="24.75" customHeight="1">
      <c r="A25" s="182" t="s">
        <v>173</v>
      </c>
      <c r="B25" s="183">
        <f>66/100</f>
        <v>0.66</v>
      </c>
      <c r="C25" s="160">
        <v>0</v>
      </c>
      <c r="D25" s="160">
        <v>0</v>
      </c>
      <c r="E25" s="160">
        <v>0</v>
      </c>
      <c r="F25" s="162">
        <f t="shared" si="1"/>
        <v>39.362544</v>
      </c>
      <c r="G25" s="338"/>
      <c r="H25" s="338">
        <v>189243</v>
      </c>
      <c r="K25">
        <v>0</v>
      </c>
      <c r="N25">
        <v>66</v>
      </c>
      <c r="O25">
        <v>66</v>
      </c>
      <c r="P25">
        <v>66</v>
      </c>
      <c r="Q25">
        <v>66</v>
      </c>
    </row>
    <row r="26" spans="1:17" ht="24.75" customHeight="1">
      <c r="A26" s="12">
        <v>2025</v>
      </c>
      <c r="B26" s="186">
        <f>SUM(B9:B25)</f>
        <v>180.98</v>
      </c>
      <c r="C26" s="186">
        <f t="shared" ref="C26:F26" si="2">SUM(C9:C25)</f>
        <v>142.24999999999997</v>
      </c>
      <c r="D26" s="186">
        <f t="shared" si="2"/>
        <v>680.73100000000011</v>
      </c>
      <c r="E26" s="186">
        <f t="shared" si="2"/>
        <v>1512.6055895622064</v>
      </c>
      <c r="F26" s="186">
        <f t="shared" si="2"/>
        <v>424.96001599999994</v>
      </c>
    </row>
    <row r="27" spans="1:17" ht="24.75" customHeight="1">
      <c r="A27" s="12">
        <f t="shared" ref="A27:A30" si="3">A26-1</f>
        <v>2024</v>
      </c>
      <c r="B27" s="167">
        <v>190.17000000000002</v>
      </c>
      <c r="C27" s="167">
        <v>141.79</v>
      </c>
      <c r="D27" s="167">
        <v>1388.3000000000002</v>
      </c>
      <c r="E27" s="187">
        <v>97.912405670357586</v>
      </c>
      <c r="F27" s="188">
        <v>326.91918486875164</v>
      </c>
    </row>
    <row r="28" spans="1:17" ht="24.75" customHeight="1">
      <c r="A28" s="12">
        <f t="shared" si="3"/>
        <v>2023</v>
      </c>
      <c r="B28" s="169">
        <v>202.02999999999994</v>
      </c>
      <c r="C28" s="169">
        <v>148.9</v>
      </c>
      <c r="D28" s="169">
        <v>1138.569</v>
      </c>
      <c r="E28" s="170">
        <v>74.513044415991274</v>
      </c>
      <c r="F28" s="171">
        <v>320.16146193820538</v>
      </c>
    </row>
    <row r="29" spans="1:17" ht="24.75" customHeight="1">
      <c r="A29" s="12">
        <f t="shared" si="3"/>
        <v>2022</v>
      </c>
      <c r="B29" s="169">
        <v>203.52</v>
      </c>
      <c r="C29" s="169">
        <v>138.44999999999999</v>
      </c>
      <c r="D29" s="169">
        <v>1294.9979999999998</v>
      </c>
      <c r="E29" s="170">
        <v>91.558072570605319</v>
      </c>
      <c r="F29" s="171">
        <v>315.41798088917426</v>
      </c>
    </row>
    <row r="30" spans="1:17" ht="24.75" customHeight="1">
      <c r="A30" s="12">
        <f t="shared" si="3"/>
        <v>2021</v>
      </c>
      <c r="B30" s="169">
        <v>218.3</v>
      </c>
      <c r="C30" s="169">
        <v>64.010000000000005</v>
      </c>
      <c r="D30" s="169">
        <v>773.2</v>
      </c>
      <c r="E30" s="170">
        <v>120.79362599593814</v>
      </c>
      <c r="F30" s="171">
        <v>312.66845826840006</v>
      </c>
    </row>
    <row r="31" spans="1:17" ht="14.25" customHeight="1">
      <c r="A31" s="172"/>
      <c r="B31" s="169"/>
      <c r="C31" s="169"/>
      <c r="D31" s="169"/>
      <c r="E31" s="170"/>
      <c r="F31" s="171"/>
    </row>
    <row r="32" spans="1:17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Q1000"/>
  <sheetViews>
    <sheetView topLeftCell="A31" workbookViewId="0">
      <selection activeCell="B38" sqref="B38:F39"/>
    </sheetView>
  </sheetViews>
  <sheetFormatPr defaultColWidth="14.42578125" defaultRowHeight="15" customHeight="1"/>
  <cols>
    <col min="1" max="1" width="24.5703125" customWidth="1"/>
    <col min="2" max="11" width="8.7109375" customWidth="1"/>
    <col min="12" max="12" width="12" customWidth="1"/>
    <col min="13" max="13" width="12.85546875" customWidth="1"/>
    <col min="14" max="26" width="8.7109375" customWidth="1"/>
  </cols>
  <sheetData>
    <row r="1" spans="1:17" ht="14.25" customHeight="1">
      <c r="A1" s="429" t="s">
        <v>243</v>
      </c>
      <c r="B1" s="423"/>
      <c r="C1" s="423"/>
      <c r="D1" s="423"/>
      <c r="E1" s="423"/>
      <c r="F1" s="423"/>
    </row>
    <row r="2" spans="1:17" ht="14.25" customHeight="1">
      <c r="A2" s="429" t="s">
        <v>244</v>
      </c>
      <c r="B2" s="423"/>
      <c r="C2" s="423"/>
      <c r="D2" s="423"/>
      <c r="E2" s="423"/>
      <c r="F2" s="423"/>
    </row>
    <row r="3" spans="1:17" ht="14.25" customHeight="1">
      <c r="A3" s="429" t="s">
        <v>102</v>
      </c>
      <c r="B3" s="423"/>
      <c r="C3" s="423"/>
      <c r="D3" s="423"/>
      <c r="E3" s="423"/>
      <c r="F3" s="423"/>
    </row>
    <row r="4" spans="1:17" ht="14.25" customHeight="1">
      <c r="A4" s="137"/>
      <c r="B4" s="141"/>
      <c r="C4" s="122"/>
      <c r="D4" s="122"/>
      <c r="E4" s="123"/>
      <c r="F4" s="122"/>
    </row>
    <row r="5" spans="1:17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7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7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7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14">
        <f>I8/1000</f>
        <v>2.0800000000000001E-4</v>
      </c>
      <c r="I8">
        <f>J8*52</f>
        <v>0.20800000000000002</v>
      </c>
      <c r="J8" s="378">
        <v>4.0000000000000001E-3</v>
      </c>
      <c r="K8" s="394" t="s">
        <v>262</v>
      </c>
      <c r="L8" s="394" t="s">
        <v>260</v>
      </c>
      <c r="M8" s="394" t="s">
        <v>263</v>
      </c>
      <c r="N8" s="397" t="s">
        <v>264</v>
      </c>
      <c r="O8" s="403" t="s">
        <v>265</v>
      </c>
      <c r="P8" s="403" t="s">
        <v>266</v>
      </c>
      <c r="Q8" s="403" t="s">
        <v>267</v>
      </c>
    </row>
    <row r="9" spans="1:17" ht="24.75" customHeight="1">
      <c r="A9" s="158" t="s">
        <v>157</v>
      </c>
      <c r="B9" s="159">
        <f>825/300</f>
        <v>2.75</v>
      </c>
      <c r="C9" s="160">
        <f>675/300</f>
        <v>2.25</v>
      </c>
      <c r="D9" s="159">
        <f>196/10</f>
        <v>19.600000000000001</v>
      </c>
      <c r="E9" s="375">
        <f t="shared" ref="E9:E25" si="0">(D9*10)/C9</f>
        <v>87.111111111111114</v>
      </c>
      <c r="F9" s="162">
        <f>$H$8*H9</f>
        <v>13.537680000000002</v>
      </c>
      <c r="G9" s="338"/>
      <c r="H9" s="338">
        <v>65085</v>
      </c>
      <c r="K9">
        <v>196</v>
      </c>
      <c r="L9">
        <v>675</v>
      </c>
      <c r="M9" s="407">
        <v>825</v>
      </c>
      <c r="N9">
        <v>825</v>
      </c>
      <c r="O9">
        <v>825</v>
      </c>
      <c r="P9">
        <v>825</v>
      </c>
      <c r="Q9">
        <v>825</v>
      </c>
    </row>
    <row r="10" spans="1:17" ht="24.75" customHeight="1">
      <c r="A10" s="158" t="s">
        <v>158</v>
      </c>
      <c r="B10" s="159">
        <f>1125/300</f>
        <v>3.75</v>
      </c>
      <c r="C10" s="160">
        <f>525/300</f>
        <v>1.75</v>
      </c>
      <c r="D10" s="159">
        <f>161/10</f>
        <v>16.100000000000001</v>
      </c>
      <c r="E10" s="375">
        <f t="shared" si="0"/>
        <v>92</v>
      </c>
      <c r="F10" s="162">
        <f t="shared" ref="F10:F25" si="1">$H$8*H10</f>
        <v>22.260784000000001</v>
      </c>
      <c r="G10" s="338"/>
      <c r="H10" s="338">
        <v>107023</v>
      </c>
      <c r="K10">
        <v>161</v>
      </c>
      <c r="L10">
        <v>525</v>
      </c>
      <c r="M10" s="407">
        <v>1125</v>
      </c>
      <c r="N10">
        <v>1125</v>
      </c>
      <c r="O10">
        <v>1125</v>
      </c>
      <c r="P10">
        <v>1125</v>
      </c>
      <c r="Q10">
        <v>1125</v>
      </c>
    </row>
    <row r="11" spans="1:17" ht="24.75" customHeight="1">
      <c r="A11" s="158" t="s">
        <v>159</v>
      </c>
      <c r="B11" s="159">
        <f>210/300</f>
        <v>0.7</v>
      </c>
      <c r="C11" s="160">
        <f>91/300</f>
        <v>0.30333333333333334</v>
      </c>
      <c r="D11" s="159">
        <f>53/10</f>
        <v>5.3</v>
      </c>
      <c r="E11" s="375">
        <f t="shared" si="0"/>
        <v>174.72527472527472</v>
      </c>
      <c r="F11" s="162">
        <f t="shared" si="1"/>
        <v>24.377184000000003</v>
      </c>
      <c r="G11" s="338"/>
      <c r="H11" s="338">
        <v>117198</v>
      </c>
      <c r="K11">
        <v>52.71</v>
      </c>
      <c r="L11">
        <v>91</v>
      </c>
      <c r="M11" s="407">
        <v>210</v>
      </c>
      <c r="N11">
        <v>210</v>
      </c>
      <c r="O11">
        <v>197</v>
      </c>
      <c r="P11">
        <v>186</v>
      </c>
      <c r="Q11">
        <v>169</v>
      </c>
    </row>
    <row r="12" spans="1:17" ht="24.75" customHeight="1">
      <c r="A12" s="158" t="s">
        <v>160</v>
      </c>
      <c r="B12" s="159">
        <f>954/300</f>
        <v>3.18</v>
      </c>
      <c r="C12" s="160">
        <f>440/300</f>
        <v>1.4666666666666666</v>
      </c>
      <c r="D12" s="159">
        <f>86/10</f>
        <v>8.6</v>
      </c>
      <c r="E12" s="375">
        <f t="shared" si="0"/>
        <v>58.63636363636364</v>
      </c>
      <c r="F12" s="162">
        <f t="shared" si="1"/>
        <v>24.231168</v>
      </c>
      <c r="G12" s="338"/>
      <c r="H12" s="338">
        <v>116496</v>
      </c>
      <c r="K12">
        <v>86.460000000000008</v>
      </c>
      <c r="L12">
        <v>440</v>
      </c>
      <c r="M12" s="407">
        <v>954</v>
      </c>
      <c r="N12">
        <v>954</v>
      </c>
      <c r="O12">
        <v>936</v>
      </c>
      <c r="P12">
        <v>923</v>
      </c>
      <c r="Q12">
        <v>916</v>
      </c>
    </row>
    <row r="13" spans="1:17" ht="24.75" customHeight="1">
      <c r="A13" s="158" t="s">
        <v>161</v>
      </c>
      <c r="B13" s="159">
        <f>787/300</f>
        <v>2.6233333333333335</v>
      </c>
      <c r="C13" s="160">
        <f>115/300</f>
        <v>0.38333333333333336</v>
      </c>
      <c r="D13" s="159">
        <f>252/10</f>
        <v>25.2</v>
      </c>
      <c r="E13" s="375">
        <f t="shared" si="0"/>
        <v>657.39130434782601</v>
      </c>
      <c r="F13" s="162">
        <f t="shared" si="1"/>
        <v>14.977664000000001</v>
      </c>
      <c r="G13" s="338"/>
      <c r="H13" s="338">
        <v>72008</v>
      </c>
      <c r="K13">
        <v>252</v>
      </c>
      <c r="L13">
        <v>115</v>
      </c>
      <c r="M13" s="407">
        <v>787</v>
      </c>
      <c r="N13">
        <v>787</v>
      </c>
      <c r="O13">
        <v>787</v>
      </c>
      <c r="P13">
        <v>787</v>
      </c>
      <c r="Q13">
        <v>787</v>
      </c>
    </row>
    <row r="14" spans="1:17" ht="24.75" customHeight="1">
      <c r="A14" s="158" t="s">
        <v>162</v>
      </c>
      <c r="B14" s="159">
        <f>434/300</f>
        <v>1.4466666666666668</v>
      </c>
      <c r="C14" s="160">
        <f>82/300</f>
        <v>0.27333333333333332</v>
      </c>
      <c r="D14" s="159">
        <f>38/10</f>
        <v>3.8</v>
      </c>
      <c r="E14" s="375">
        <f>(D14*10)/C14</f>
        <v>139.02439024390245</v>
      </c>
      <c r="F14" s="162">
        <f t="shared" si="1"/>
        <v>16.549520000000001</v>
      </c>
      <c r="G14" s="338"/>
      <c r="H14" s="338">
        <v>79565</v>
      </c>
      <c r="K14">
        <v>38.4</v>
      </c>
      <c r="L14">
        <v>82</v>
      </c>
      <c r="M14" s="407">
        <v>434</v>
      </c>
      <c r="N14">
        <v>434</v>
      </c>
      <c r="O14">
        <v>426</v>
      </c>
      <c r="P14">
        <v>426</v>
      </c>
      <c r="Q14">
        <v>421</v>
      </c>
    </row>
    <row r="15" spans="1:17" ht="24.75" customHeight="1">
      <c r="A15" s="158" t="s">
        <v>163</v>
      </c>
      <c r="B15" s="160">
        <v>0</v>
      </c>
      <c r="C15" s="160">
        <v>0</v>
      </c>
      <c r="D15" s="160">
        <v>0</v>
      </c>
      <c r="E15" s="160">
        <v>0</v>
      </c>
      <c r="F15" s="162">
        <f t="shared" si="1"/>
        <v>33.903376000000002</v>
      </c>
      <c r="G15" s="338"/>
      <c r="H15" s="338">
        <v>162997</v>
      </c>
      <c r="K15">
        <v>0</v>
      </c>
      <c r="M15" s="407"/>
    </row>
    <row r="16" spans="1:17" ht="24.75" customHeight="1">
      <c r="A16" s="158" t="s">
        <v>164</v>
      </c>
      <c r="B16" s="160">
        <v>0</v>
      </c>
      <c r="C16" s="160">
        <v>0</v>
      </c>
      <c r="D16" s="160">
        <v>0</v>
      </c>
      <c r="E16" s="160">
        <v>0</v>
      </c>
      <c r="F16" s="162">
        <f t="shared" si="1"/>
        <v>30.541472000000002</v>
      </c>
      <c r="G16" s="338"/>
      <c r="H16" s="338">
        <v>146834</v>
      </c>
      <c r="K16">
        <v>0</v>
      </c>
      <c r="M16" s="407"/>
    </row>
    <row r="17" spans="1:17" ht="24.75" customHeight="1">
      <c r="A17" s="158" t="s">
        <v>165</v>
      </c>
      <c r="B17" s="159">
        <f>3769/300</f>
        <v>12.563333333333333</v>
      </c>
      <c r="C17" s="160">
        <f>1634/300</f>
        <v>5.4466666666666663</v>
      </c>
      <c r="D17" s="159">
        <f>494/10</f>
        <v>49.4</v>
      </c>
      <c r="E17" s="375">
        <f t="shared" si="0"/>
        <v>90.697674418604663</v>
      </c>
      <c r="F17" s="162">
        <f t="shared" si="1"/>
        <v>27.564160000000001</v>
      </c>
      <c r="G17" s="338"/>
      <c r="H17" s="338">
        <v>132520</v>
      </c>
      <c r="K17">
        <v>494</v>
      </c>
      <c r="L17">
        <v>1634</v>
      </c>
      <c r="M17" s="407">
        <v>3769</v>
      </c>
      <c r="N17">
        <v>3769</v>
      </c>
      <c r="O17">
        <v>3643</v>
      </c>
      <c r="P17">
        <v>3494</v>
      </c>
      <c r="Q17">
        <v>3308</v>
      </c>
    </row>
    <row r="18" spans="1:17" ht="24.75" customHeight="1">
      <c r="A18" s="158" t="s">
        <v>166</v>
      </c>
      <c r="B18" s="160">
        <v>0</v>
      </c>
      <c r="C18" s="160">
        <v>0</v>
      </c>
      <c r="D18" s="160">
        <v>0</v>
      </c>
      <c r="E18" s="160">
        <v>0</v>
      </c>
      <c r="F18" s="162">
        <f t="shared" si="1"/>
        <v>29.831776000000001</v>
      </c>
      <c r="G18" s="338"/>
      <c r="H18" s="338">
        <v>143422</v>
      </c>
      <c r="K18">
        <v>0</v>
      </c>
      <c r="M18" s="407"/>
    </row>
    <row r="19" spans="1:17" ht="24.75" customHeight="1">
      <c r="A19" s="158" t="s">
        <v>167</v>
      </c>
      <c r="B19" s="160">
        <v>0</v>
      </c>
      <c r="C19" s="160">
        <v>0</v>
      </c>
      <c r="D19" s="159">
        <f>7/10</f>
        <v>0.7</v>
      </c>
      <c r="E19" s="160">
        <v>0</v>
      </c>
      <c r="F19" s="162">
        <f t="shared" si="1"/>
        <v>22.612512000000002</v>
      </c>
      <c r="G19" s="338"/>
      <c r="H19" s="338">
        <v>108714</v>
      </c>
      <c r="K19">
        <v>7.25</v>
      </c>
      <c r="L19">
        <v>25</v>
      </c>
      <c r="M19" s="407">
        <v>100</v>
      </c>
      <c r="N19">
        <v>100</v>
      </c>
      <c r="O19">
        <v>100</v>
      </c>
      <c r="P19">
        <v>100</v>
      </c>
      <c r="Q19">
        <v>100</v>
      </c>
    </row>
    <row r="20" spans="1:17" ht="24.75" customHeight="1">
      <c r="A20" s="158" t="s">
        <v>168</v>
      </c>
      <c r="B20" s="160">
        <v>0</v>
      </c>
      <c r="C20" s="160">
        <v>0</v>
      </c>
      <c r="D20" s="159">
        <f>4.71/10</f>
        <v>0.47099999999999997</v>
      </c>
      <c r="E20" s="160">
        <v>0</v>
      </c>
      <c r="F20" s="162">
        <f t="shared" si="1"/>
        <v>14.536704</v>
      </c>
      <c r="G20" s="338"/>
      <c r="H20" s="338">
        <v>69888</v>
      </c>
      <c r="K20">
        <v>4.71</v>
      </c>
      <c r="L20">
        <v>10</v>
      </c>
      <c r="M20" s="407">
        <v>13</v>
      </c>
      <c r="N20">
        <v>13</v>
      </c>
      <c r="O20">
        <v>10</v>
      </c>
      <c r="P20">
        <v>10</v>
      </c>
      <c r="Q20">
        <v>8</v>
      </c>
    </row>
    <row r="21" spans="1:17" ht="24.75" customHeight="1">
      <c r="A21" s="158" t="s">
        <v>169</v>
      </c>
      <c r="B21" s="160">
        <v>0</v>
      </c>
      <c r="C21" s="160">
        <v>0</v>
      </c>
      <c r="D21" s="159">
        <v>0</v>
      </c>
      <c r="E21" s="160">
        <v>0</v>
      </c>
      <c r="F21" s="162">
        <f t="shared" si="1"/>
        <v>38.800112000000006</v>
      </c>
      <c r="G21" s="338"/>
      <c r="H21" s="338">
        <v>186539</v>
      </c>
      <c r="K21">
        <v>0</v>
      </c>
      <c r="M21" s="407"/>
    </row>
    <row r="22" spans="1:17" ht="24.75" customHeight="1">
      <c r="A22" s="158" t="s">
        <v>170</v>
      </c>
      <c r="B22" s="160">
        <v>0</v>
      </c>
      <c r="C22" s="160">
        <v>0</v>
      </c>
      <c r="D22" s="159">
        <v>0.7</v>
      </c>
      <c r="E22" s="160">
        <v>0</v>
      </c>
      <c r="F22" s="162">
        <f t="shared" si="1"/>
        <v>34.846032000000001</v>
      </c>
      <c r="G22" s="338"/>
      <c r="H22" s="338">
        <v>167529</v>
      </c>
      <c r="K22">
        <v>7.18</v>
      </c>
      <c r="L22">
        <v>69</v>
      </c>
      <c r="M22" s="407">
        <v>76</v>
      </c>
      <c r="N22">
        <v>76</v>
      </c>
      <c r="O22">
        <v>76</v>
      </c>
      <c r="P22">
        <v>76</v>
      </c>
      <c r="Q22">
        <v>63</v>
      </c>
    </row>
    <row r="23" spans="1:17" ht="24.75" customHeight="1">
      <c r="A23" s="158" t="s">
        <v>171</v>
      </c>
      <c r="B23" s="160">
        <v>0</v>
      </c>
      <c r="C23" s="160">
        <v>0</v>
      </c>
      <c r="D23" s="159">
        <v>0.18</v>
      </c>
      <c r="E23" s="160">
        <v>0</v>
      </c>
      <c r="F23" s="162">
        <f t="shared" si="1"/>
        <v>18.744336000000001</v>
      </c>
      <c r="G23" s="338"/>
      <c r="H23" s="338">
        <v>90117</v>
      </c>
      <c r="K23">
        <v>0.18</v>
      </c>
      <c r="L23">
        <v>14</v>
      </c>
      <c r="M23" s="407">
        <v>31</v>
      </c>
      <c r="N23">
        <v>31</v>
      </c>
      <c r="O23">
        <v>31</v>
      </c>
      <c r="P23">
        <v>31</v>
      </c>
      <c r="Q23">
        <v>30</v>
      </c>
    </row>
    <row r="24" spans="1:17" ht="24.75" customHeight="1">
      <c r="A24" s="158" t="s">
        <v>172</v>
      </c>
      <c r="B24" s="160">
        <v>0</v>
      </c>
      <c r="C24" s="160">
        <v>0</v>
      </c>
      <c r="D24" s="159">
        <v>0</v>
      </c>
      <c r="E24" s="160">
        <v>0</v>
      </c>
      <c r="F24" s="162">
        <f t="shared" si="1"/>
        <v>18.282992</v>
      </c>
      <c r="G24" s="338"/>
      <c r="H24" s="338">
        <v>87899</v>
      </c>
      <c r="K24">
        <v>0</v>
      </c>
      <c r="N24" s="407">
        <v>0</v>
      </c>
      <c r="O24" s="407">
        <v>0</v>
      </c>
      <c r="P24" s="407">
        <v>0</v>
      </c>
      <c r="Q24" s="407">
        <v>0</v>
      </c>
    </row>
    <row r="25" spans="1:17" ht="24.75" customHeight="1">
      <c r="A25" s="182" t="s">
        <v>173</v>
      </c>
      <c r="B25" s="160">
        <v>0</v>
      </c>
      <c r="C25" s="160">
        <v>0</v>
      </c>
      <c r="D25" s="183">
        <v>0</v>
      </c>
      <c r="E25" s="160">
        <v>0</v>
      </c>
      <c r="F25" s="162">
        <f t="shared" si="1"/>
        <v>39.362544</v>
      </c>
      <c r="G25" s="338"/>
      <c r="H25" s="338">
        <v>189243</v>
      </c>
      <c r="K25">
        <v>0</v>
      </c>
      <c r="N25" s="407">
        <v>0</v>
      </c>
      <c r="O25" s="407">
        <v>0</v>
      </c>
      <c r="P25" s="407">
        <v>0</v>
      </c>
      <c r="Q25" s="407">
        <v>0</v>
      </c>
    </row>
    <row r="26" spans="1:17" ht="24.75" customHeight="1">
      <c r="A26" s="12">
        <v>2025</v>
      </c>
      <c r="B26" s="186">
        <f>SUM(B9:B25)</f>
        <v>27.013333333333335</v>
      </c>
      <c r="C26" s="186">
        <f t="shared" ref="C26:F26" si="2">SUM(C9:C25)</f>
        <v>11.873333333333335</v>
      </c>
      <c r="D26" s="186">
        <f t="shared" si="2"/>
        <v>130.05099999999999</v>
      </c>
      <c r="E26" s="186">
        <f t="shared" si="2"/>
        <v>1299.5861184830826</v>
      </c>
      <c r="F26" s="186">
        <f t="shared" si="2"/>
        <v>424.96001599999994</v>
      </c>
    </row>
    <row r="27" spans="1:17" ht="24.75" customHeight="1">
      <c r="A27" s="12">
        <f t="shared" ref="A27:A30" si="3">A26-1</f>
        <v>2024</v>
      </c>
      <c r="B27" s="167">
        <v>29.036666666666665</v>
      </c>
      <c r="C27" s="167">
        <v>13.270000000000001</v>
      </c>
      <c r="D27" s="167">
        <v>86.451999999999998</v>
      </c>
      <c r="E27" s="187">
        <v>65.148455162019587</v>
      </c>
      <c r="F27" s="188">
        <v>103.45715797075397</v>
      </c>
    </row>
    <row r="28" spans="1:17" ht="24.75" customHeight="1">
      <c r="A28" s="12">
        <f t="shared" si="3"/>
        <v>2023</v>
      </c>
      <c r="B28" s="169">
        <v>32.14</v>
      </c>
      <c r="C28" s="169">
        <v>14.233333333333333</v>
      </c>
      <c r="D28" s="169">
        <v>111.39850000000001</v>
      </c>
      <c r="E28" s="170">
        <v>68.510925215652364</v>
      </c>
      <c r="F28" s="171">
        <v>102.61585318532222</v>
      </c>
    </row>
    <row r="29" spans="1:17" ht="24.75" customHeight="1">
      <c r="A29" s="12">
        <f t="shared" si="3"/>
        <v>2022</v>
      </c>
      <c r="B29" s="169">
        <v>32.909999999999997</v>
      </c>
      <c r="C29" s="169">
        <v>10.836666666666666</v>
      </c>
      <c r="D29" s="169">
        <v>168.06899999999996</v>
      </c>
      <c r="E29" s="170">
        <v>50.033886402892676</v>
      </c>
      <c r="F29" s="171">
        <v>101.09550669524812</v>
      </c>
    </row>
    <row r="30" spans="1:17" ht="24.75" customHeight="1">
      <c r="A30" s="12">
        <f t="shared" si="3"/>
        <v>2021</v>
      </c>
      <c r="B30" s="169">
        <v>35.593333333333334</v>
      </c>
      <c r="C30" s="169">
        <v>10.79</v>
      </c>
      <c r="D30" s="169">
        <v>157.20000000000002</v>
      </c>
      <c r="E30" s="170">
        <v>48.563484708063029</v>
      </c>
      <c r="F30" s="171">
        <v>100.21424944500001</v>
      </c>
    </row>
    <row r="31" spans="1:17" ht="14.25" customHeight="1">
      <c r="A31" s="172"/>
      <c r="B31" s="169"/>
      <c r="C31" s="169"/>
      <c r="D31" s="169"/>
      <c r="E31" s="170"/>
      <c r="F31" s="171"/>
    </row>
    <row r="32" spans="1:17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0"/>
  <sheetViews>
    <sheetView topLeftCell="A4" workbookViewId="0">
      <selection activeCell="E21" sqref="E21"/>
    </sheetView>
  </sheetViews>
  <sheetFormatPr defaultColWidth="14.42578125" defaultRowHeight="15" customHeight="1"/>
  <cols>
    <col min="1" max="1" width="18.28515625" customWidth="1"/>
    <col min="2" max="2" width="9.7109375" customWidth="1"/>
    <col min="3" max="3" width="13" customWidth="1"/>
    <col min="4" max="4" width="15.5703125" customWidth="1"/>
    <col min="5" max="5" width="15.85546875" customWidth="1"/>
    <col min="6" max="6" width="16.42578125" customWidth="1"/>
    <col min="7" max="7" width="12.85546875" customWidth="1"/>
    <col min="8" max="8" width="12" bestFit="1" customWidth="1"/>
    <col min="9" max="10" width="8.7109375" customWidth="1"/>
    <col min="11" max="11" width="13.5703125" customWidth="1"/>
    <col min="12" max="12" width="9.85546875" customWidth="1"/>
    <col min="13" max="26" width="8.7109375" customWidth="1"/>
  </cols>
  <sheetData>
    <row r="1" spans="1:12" ht="14.25" customHeight="1">
      <c r="A1" s="412" t="s">
        <v>0</v>
      </c>
      <c r="B1" s="411"/>
      <c r="C1" s="411"/>
      <c r="D1" s="411"/>
      <c r="E1" s="411"/>
      <c r="F1" s="411"/>
      <c r="G1" s="411"/>
      <c r="H1" s="411"/>
    </row>
    <row r="2" spans="1:12" ht="14.25" customHeight="1">
      <c r="A2" s="412" t="s">
        <v>28</v>
      </c>
      <c r="B2" s="411"/>
      <c r="C2" s="411"/>
      <c r="D2" s="411"/>
      <c r="E2" s="411"/>
      <c r="F2" s="411"/>
      <c r="G2" s="411"/>
      <c r="H2" s="411"/>
    </row>
    <row r="3" spans="1:12" ht="14.25" customHeight="1">
      <c r="A3" s="412" t="s">
        <v>53</v>
      </c>
      <c r="B3" s="411"/>
      <c r="C3" s="411"/>
      <c r="D3" s="411"/>
      <c r="E3" s="411"/>
      <c r="F3" s="411"/>
      <c r="G3" s="411"/>
      <c r="H3" s="411"/>
    </row>
    <row r="4" spans="1:12" ht="14.25" customHeight="1">
      <c r="A4" s="412" t="s">
        <v>30</v>
      </c>
      <c r="B4" s="411"/>
      <c r="C4" s="411"/>
      <c r="D4" s="411"/>
      <c r="E4" s="411"/>
      <c r="F4" s="411"/>
      <c r="G4" s="411"/>
      <c r="H4" s="411"/>
    </row>
    <row r="5" spans="1:12" ht="14.25" customHeight="1">
      <c r="A5" s="45"/>
      <c r="B5" s="45"/>
      <c r="C5" s="45"/>
      <c r="D5" s="45"/>
      <c r="E5" s="45"/>
      <c r="F5" s="45"/>
      <c r="G5" s="45"/>
      <c r="H5" s="46"/>
    </row>
    <row r="6" spans="1:12" ht="14.25" customHeight="1">
      <c r="A6" s="408" t="s">
        <v>31</v>
      </c>
      <c r="B6" s="415" t="s">
        <v>32</v>
      </c>
      <c r="C6" s="415" t="s">
        <v>4</v>
      </c>
      <c r="D6" s="415" t="s">
        <v>5</v>
      </c>
      <c r="E6" s="415" t="s">
        <v>6</v>
      </c>
      <c r="F6" s="415" t="s">
        <v>33</v>
      </c>
      <c r="G6" s="415" t="s">
        <v>34</v>
      </c>
      <c r="H6" s="18"/>
    </row>
    <row r="7" spans="1:12" ht="14.25" customHeight="1">
      <c r="A7" s="417"/>
      <c r="B7" s="417"/>
      <c r="C7" s="417"/>
      <c r="D7" s="417"/>
      <c r="E7" s="417"/>
      <c r="F7" s="417"/>
      <c r="G7" s="417"/>
    </row>
    <row r="8" spans="1:12" ht="14.25" customHeight="1">
      <c r="A8" s="409"/>
      <c r="B8" s="409"/>
      <c r="C8" s="409"/>
      <c r="D8" s="409"/>
      <c r="E8" s="409"/>
      <c r="F8" s="409"/>
      <c r="G8" s="409"/>
      <c r="H8" s="314">
        <f>0.156/1000</f>
        <v>1.56E-4</v>
      </c>
      <c r="I8" s="355" t="s">
        <v>255</v>
      </c>
      <c r="K8" s="378"/>
    </row>
    <row r="9" spans="1:12" ht="14.25" customHeight="1">
      <c r="A9" s="19" t="s">
        <v>8</v>
      </c>
      <c r="B9" s="191" t="s">
        <v>9</v>
      </c>
      <c r="C9" s="191" t="s">
        <v>10</v>
      </c>
      <c r="D9" s="19" t="s">
        <v>11</v>
      </c>
      <c r="E9" s="19" t="s">
        <v>12</v>
      </c>
      <c r="F9" s="19" t="s">
        <v>35</v>
      </c>
      <c r="G9" s="19" t="s">
        <v>36</v>
      </c>
      <c r="H9" s="314">
        <v>2087331</v>
      </c>
      <c r="I9" s="363" t="s">
        <v>254</v>
      </c>
      <c r="L9" s="23"/>
    </row>
    <row r="10" spans="1:12" ht="14.25" customHeight="1">
      <c r="A10" s="190" t="s">
        <v>37</v>
      </c>
      <c r="B10" s="274">
        <v>0</v>
      </c>
      <c r="C10" s="274">
        <v>0</v>
      </c>
      <c r="D10" s="277">
        <f>C10*0.95</f>
        <v>0</v>
      </c>
      <c r="E10" s="364">
        <f>$H$8*$H$9/12</f>
        <v>27.135302999999997</v>
      </c>
      <c r="F10" s="268">
        <f>D10-E10</f>
        <v>-27.135302999999997</v>
      </c>
      <c r="G10" s="250">
        <f>F10</f>
        <v>-27.135302999999997</v>
      </c>
      <c r="H10" s="338"/>
      <c r="I10" s="338"/>
      <c r="L10" s="47"/>
    </row>
    <row r="11" spans="1:12" ht="14.25" customHeight="1">
      <c r="A11" s="190" t="s">
        <v>38</v>
      </c>
      <c r="B11" s="274">
        <v>0</v>
      </c>
      <c r="C11" s="274">
        <v>0</v>
      </c>
      <c r="D11" s="277">
        <f t="shared" ref="D11:D21" si="0">C11*0.95</f>
        <v>0</v>
      </c>
      <c r="E11" s="364">
        <f t="shared" ref="E11:E21" si="1">$H$8*$H$9/12</f>
        <v>27.135302999999997</v>
      </c>
      <c r="F11" s="268">
        <f t="shared" ref="F11:F21" si="2">D11-E11</f>
        <v>-27.135302999999997</v>
      </c>
      <c r="G11" s="250">
        <f>G10+F11</f>
        <v>-54.270605999999994</v>
      </c>
      <c r="H11" s="338"/>
      <c r="I11" s="338"/>
    </row>
    <row r="12" spans="1:12" ht="14.25" customHeight="1">
      <c r="A12" s="190" t="s">
        <v>39</v>
      </c>
      <c r="B12" s="274">
        <v>0</v>
      </c>
      <c r="C12" s="274">
        <v>0</v>
      </c>
      <c r="D12" s="277">
        <f t="shared" si="0"/>
        <v>0</v>
      </c>
      <c r="E12" s="364">
        <f t="shared" si="1"/>
        <v>27.135302999999997</v>
      </c>
      <c r="F12" s="268">
        <f t="shared" si="2"/>
        <v>-27.135302999999997</v>
      </c>
      <c r="G12" s="250">
        <f t="shared" ref="G12:G21" si="3">G11+F12</f>
        <v>-81.405908999999994</v>
      </c>
      <c r="H12" s="338"/>
      <c r="I12" s="338"/>
    </row>
    <row r="13" spans="1:12" ht="14.25" customHeight="1">
      <c r="A13" s="190" t="s">
        <v>40</v>
      </c>
      <c r="B13" s="274">
        <v>0</v>
      </c>
      <c r="C13" s="274">
        <v>0</v>
      </c>
      <c r="D13" s="277">
        <f t="shared" si="0"/>
        <v>0</v>
      </c>
      <c r="E13" s="364">
        <f t="shared" si="1"/>
        <v>27.135302999999997</v>
      </c>
      <c r="F13" s="268">
        <f t="shared" si="2"/>
        <v>-27.135302999999997</v>
      </c>
      <c r="G13" s="250">
        <f t="shared" si="3"/>
        <v>-108.54121199999999</v>
      </c>
      <c r="H13" s="338"/>
      <c r="I13" s="338"/>
    </row>
    <row r="14" spans="1:12" ht="14.25" customHeight="1">
      <c r="A14" s="190" t="s">
        <v>41</v>
      </c>
      <c r="B14" s="274">
        <v>0</v>
      </c>
      <c r="C14" s="274">
        <v>0</v>
      </c>
      <c r="D14" s="277">
        <f t="shared" si="0"/>
        <v>0</v>
      </c>
      <c r="E14" s="364">
        <f t="shared" si="1"/>
        <v>27.135302999999997</v>
      </c>
      <c r="F14" s="268">
        <f t="shared" si="2"/>
        <v>-27.135302999999997</v>
      </c>
      <c r="G14" s="250">
        <f t="shared" si="3"/>
        <v>-135.67651499999999</v>
      </c>
      <c r="H14" s="338"/>
      <c r="I14" s="338"/>
    </row>
    <row r="15" spans="1:12" ht="14.25" customHeight="1">
      <c r="A15" s="190" t="s">
        <v>42</v>
      </c>
      <c r="B15" s="276">
        <v>70</v>
      </c>
      <c r="C15" s="275">
        <v>70</v>
      </c>
      <c r="D15" s="277">
        <f>C15*0.95</f>
        <v>66.5</v>
      </c>
      <c r="E15" s="364">
        <f t="shared" si="1"/>
        <v>27.135302999999997</v>
      </c>
      <c r="F15" s="268">
        <f t="shared" si="2"/>
        <v>39.364697000000007</v>
      </c>
      <c r="G15" s="250">
        <f t="shared" si="3"/>
        <v>-96.311817999999988</v>
      </c>
      <c r="H15" s="338"/>
      <c r="I15" s="338"/>
    </row>
    <row r="16" spans="1:12" ht="14.25" customHeight="1">
      <c r="A16" s="190" t="s">
        <v>43</v>
      </c>
      <c r="B16" s="276">
        <v>20</v>
      </c>
      <c r="C16" s="275">
        <v>0</v>
      </c>
      <c r="D16" s="277">
        <v>0</v>
      </c>
      <c r="E16" s="364">
        <f t="shared" si="1"/>
        <v>27.135302999999997</v>
      </c>
      <c r="F16" s="268">
        <f t="shared" si="2"/>
        <v>-27.135302999999997</v>
      </c>
      <c r="G16" s="250">
        <f t="shared" si="3"/>
        <v>-123.44712099999998</v>
      </c>
      <c r="H16" s="338"/>
      <c r="I16" s="338"/>
    </row>
    <row r="17" spans="1:11" ht="14.25" customHeight="1">
      <c r="A17" s="190" t="s">
        <v>44</v>
      </c>
      <c r="B17" s="276">
        <v>15</v>
      </c>
      <c r="C17" s="275">
        <v>22.5</v>
      </c>
      <c r="D17" s="277">
        <f>C17*0.95</f>
        <v>21.375</v>
      </c>
      <c r="E17" s="364">
        <f t="shared" si="1"/>
        <v>27.135302999999997</v>
      </c>
      <c r="F17" s="268">
        <f t="shared" si="2"/>
        <v>-5.7603029999999968</v>
      </c>
      <c r="G17" s="250">
        <f t="shared" si="3"/>
        <v>-129.20742399999997</v>
      </c>
      <c r="H17" s="338"/>
      <c r="I17" s="338"/>
    </row>
    <row r="18" spans="1:11" ht="14.25" customHeight="1">
      <c r="A18" s="190" t="s">
        <v>45</v>
      </c>
      <c r="B18" s="276">
        <v>1340</v>
      </c>
      <c r="C18" s="275">
        <v>1645.9299999999998</v>
      </c>
      <c r="D18" s="277">
        <f>C18*0.95</f>
        <v>1563.6334999999997</v>
      </c>
      <c r="E18" s="364">
        <f t="shared" si="1"/>
        <v>27.135302999999997</v>
      </c>
      <c r="F18" s="268">
        <f t="shared" si="2"/>
        <v>1536.4981969999997</v>
      </c>
      <c r="G18" s="250">
        <f t="shared" si="3"/>
        <v>1407.2907729999997</v>
      </c>
      <c r="H18" s="338"/>
      <c r="I18" s="338"/>
      <c r="K18" s="23"/>
    </row>
    <row r="19" spans="1:11" ht="14.25" customHeight="1">
      <c r="A19" s="190" t="s">
        <v>46</v>
      </c>
      <c r="B19" s="276">
        <v>1488</v>
      </c>
      <c r="C19" s="275">
        <v>1971.4599999999998</v>
      </c>
      <c r="D19" s="277">
        <f>C19*0.95</f>
        <v>1872.8869999999997</v>
      </c>
      <c r="E19" s="364">
        <f t="shared" si="1"/>
        <v>27.135302999999997</v>
      </c>
      <c r="F19" s="268">
        <f t="shared" si="2"/>
        <v>1845.7516969999997</v>
      </c>
      <c r="G19" s="250">
        <f t="shared" si="3"/>
        <v>3253.0424699999994</v>
      </c>
      <c r="H19" s="338"/>
      <c r="I19" s="338"/>
      <c r="K19" s="23"/>
    </row>
    <row r="20" spans="1:11" ht="14.25" customHeight="1">
      <c r="A20" s="190" t="s">
        <v>47</v>
      </c>
      <c r="B20" s="276">
        <v>280</v>
      </c>
      <c r="C20" s="275">
        <v>403.2</v>
      </c>
      <c r="D20" s="277">
        <f>C20*0.95</f>
        <v>383.03999999999996</v>
      </c>
      <c r="E20" s="364">
        <f t="shared" si="1"/>
        <v>27.135302999999997</v>
      </c>
      <c r="F20" s="268">
        <f t="shared" si="2"/>
        <v>355.90469699999994</v>
      </c>
      <c r="G20" s="250">
        <f t="shared" si="3"/>
        <v>3608.9471669999994</v>
      </c>
      <c r="H20" s="338"/>
      <c r="I20" s="338"/>
      <c r="K20" s="23"/>
    </row>
    <row r="21" spans="1:11" ht="14.25" customHeight="1">
      <c r="A21" s="190" t="s">
        <v>48</v>
      </c>
      <c r="B21" s="274">
        <v>0</v>
      </c>
      <c r="C21" s="275">
        <v>0</v>
      </c>
      <c r="D21" s="277">
        <f t="shared" si="0"/>
        <v>0</v>
      </c>
      <c r="E21" s="364">
        <f t="shared" si="1"/>
        <v>27.135302999999997</v>
      </c>
      <c r="F21" s="268">
        <f t="shared" si="2"/>
        <v>-27.135302999999997</v>
      </c>
      <c r="G21" s="250">
        <f t="shared" si="3"/>
        <v>3581.8118639999993</v>
      </c>
      <c r="H21" s="338"/>
      <c r="I21" s="338"/>
      <c r="K21" s="23"/>
    </row>
    <row r="22" spans="1:11" ht="14.25" customHeight="1">
      <c r="A22" s="12">
        <v>2025</v>
      </c>
      <c r="B22" s="202">
        <f>SUM(B10:B21)</f>
        <v>3213</v>
      </c>
      <c r="C22" s="202">
        <f t="shared" ref="C22:G22" si="4">SUM(C10:C21)</f>
        <v>4113.0899999999992</v>
      </c>
      <c r="D22" s="202">
        <f t="shared" si="4"/>
        <v>3907.4354999999996</v>
      </c>
      <c r="E22" s="202">
        <f t="shared" si="4"/>
        <v>325.62363600000003</v>
      </c>
      <c r="F22" s="202">
        <f t="shared" si="4"/>
        <v>3581.8118639999993</v>
      </c>
      <c r="G22" s="202">
        <f t="shared" si="4"/>
        <v>11095.096365999998</v>
      </c>
      <c r="H22" s="338"/>
      <c r="I22" s="338"/>
      <c r="K22" s="23"/>
    </row>
    <row r="23" spans="1:11" ht="14.25" customHeight="1">
      <c r="A23" s="12">
        <f t="shared" ref="A23:A26" si="5">A22-1</f>
        <v>2024</v>
      </c>
      <c r="B23" s="37">
        <v>3383</v>
      </c>
      <c r="C23" s="25">
        <v>4451.07</v>
      </c>
      <c r="D23" s="25">
        <v>4228.5164999999997</v>
      </c>
      <c r="E23" s="25">
        <v>167.43010022399997</v>
      </c>
      <c r="F23" s="39">
        <v>4061.0863997759993</v>
      </c>
      <c r="G23" s="42">
        <v>4061.0863997759993</v>
      </c>
      <c r="H23" s="338"/>
      <c r="I23" s="338"/>
      <c r="K23" s="23"/>
    </row>
    <row r="24" spans="1:11" ht="14.25" customHeight="1">
      <c r="A24" s="12">
        <f t="shared" si="5"/>
        <v>2023</v>
      </c>
      <c r="B24" s="39">
        <v>3151.3700000000003</v>
      </c>
      <c r="C24" s="25">
        <v>4123.7840000000006</v>
      </c>
      <c r="D24" s="25">
        <v>3917.5948000000008</v>
      </c>
      <c r="E24" s="25">
        <v>166.08</v>
      </c>
      <c r="F24" s="39">
        <v>3751.5148000000004</v>
      </c>
      <c r="G24" s="42">
        <v>3751.5148000000004</v>
      </c>
      <c r="H24" s="338"/>
      <c r="I24" s="338"/>
    </row>
    <row r="25" spans="1:11" ht="14.25" customHeight="1">
      <c r="A25" s="12">
        <f t="shared" si="5"/>
        <v>2022</v>
      </c>
      <c r="B25" s="40">
        <v>2937.7</v>
      </c>
      <c r="C25" s="13">
        <v>3458.8581199999999</v>
      </c>
      <c r="D25" s="13">
        <v>3285.9152139999997</v>
      </c>
      <c r="E25" s="13">
        <v>1837.5220499999998</v>
      </c>
      <c r="F25" s="40">
        <v>1448.3931640000001</v>
      </c>
      <c r="G25" s="40">
        <v>1448.3931640000001</v>
      </c>
      <c r="H25" s="338"/>
      <c r="I25" s="338"/>
    </row>
    <row r="26" spans="1:11" ht="14.25" customHeight="1">
      <c r="A26" s="12">
        <f t="shared" si="5"/>
        <v>2021</v>
      </c>
      <c r="B26" s="40">
        <v>3340.7</v>
      </c>
      <c r="C26" s="13">
        <v>4436.4219999999996</v>
      </c>
      <c r="D26" s="52">
        <v>4199.5170652000006</v>
      </c>
      <c r="E26" s="32">
        <v>1823.899339898999</v>
      </c>
      <c r="F26" s="40">
        <v>2375.6177253010005</v>
      </c>
      <c r="G26" s="40">
        <v>2375.6177253010005</v>
      </c>
      <c r="H26" s="338"/>
      <c r="I26" s="338"/>
    </row>
    <row r="27" spans="1:11" ht="14.25" customHeight="1">
      <c r="A27" s="33"/>
      <c r="B27" s="40"/>
      <c r="C27" s="13"/>
      <c r="D27" s="52"/>
      <c r="E27" s="32"/>
      <c r="F27" s="40"/>
      <c r="G27" s="40"/>
      <c r="H27" s="338"/>
      <c r="I27" s="338"/>
    </row>
    <row r="28" spans="1:11" ht="14.25" customHeight="1"/>
    <row r="29" spans="1:11" ht="14.25" customHeight="1">
      <c r="A29" s="410"/>
      <c r="B29" s="411"/>
      <c r="C29" s="411"/>
      <c r="D29" s="411"/>
      <c r="E29" s="411"/>
      <c r="F29" s="411"/>
      <c r="G29" s="411"/>
      <c r="H29" s="411"/>
    </row>
    <row r="30" spans="1:11" ht="14.25" customHeight="1">
      <c r="A30" s="15" t="s">
        <v>27</v>
      </c>
      <c r="B30" s="15"/>
      <c r="C30" s="15"/>
      <c r="D30" s="15"/>
    </row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29:H29"/>
    <mergeCell ref="D6:D8"/>
    <mergeCell ref="E6:E8"/>
    <mergeCell ref="F6:F8"/>
    <mergeCell ref="G6:G8"/>
    <mergeCell ref="A1:H1"/>
    <mergeCell ref="A2:H2"/>
    <mergeCell ref="A3:H3"/>
    <mergeCell ref="A4:H4"/>
    <mergeCell ref="A6:A8"/>
    <mergeCell ref="B6:B8"/>
    <mergeCell ref="C6:C8"/>
  </mergeCells>
  <pageMargins left="0.7" right="0.7" top="0.75" bottom="0.75" header="0" footer="0"/>
  <pageSetup paperSize="9" scale="75" orientation="portrait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1000"/>
  <sheetViews>
    <sheetView tabSelected="1" topLeftCell="A22" workbookViewId="0">
      <selection activeCell="J26" sqref="J26"/>
    </sheetView>
  </sheetViews>
  <sheetFormatPr defaultColWidth="14.42578125" defaultRowHeight="15" customHeight="1"/>
  <cols>
    <col min="1" max="1" width="23.7109375" customWidth="1"/>
    <col min="2" max="4" width="8.7109375" customWidth="1"/>
    <col min="5" max="5" width="10.42578125" customWidth="1"/>
    <col min="6" max="7" width="8.7109375" customWidth="1"/>
    <col min="8" max="8" width="12" bestFit="1" customWidth="1"/>
    <col min="9" max="11" width="8.7109375" customWidth="1"/>
    <col min="12" max="12" width="10.5703125" customWidth="1"/>
    <col min="13" max="13" width="11.28515625" customWidth="1"/>
    <col min="14" max="26" width="8.7109375" customWidth="1"/>
  </cols>
  <sheetData>
    <row r="1" spans="1:17" ht="14.25" customHeight="1">
      <c r="A1" s="429" t="s">
        <v>245</v>
      </c>
      <c r="B1" s="423"/>
      <c r="C1" s="423"/>
      <c r="D1" s="423"/>
      <c r="E1" s="423"/>
      <c r="F1" s="423"/>
    </row>
    <row r="2" spans="1:17" ht="14.25" customHeight="1">
      <c r="A2" s="429" t="s">
        <v>246</v>
      </c>
      <c r="B2" s="423"/>
      <c r="C2" s="423"/>
      <c r="D2" s="423"/>
      <c r="E2" s="423"/>
      <c r="F2" s="423"/>
    </row>
    <row r="3" spans="1:17" ht="14.25" customHeight="1">
      <c r="A3" s="429" t="s">
        <v>102</v>
      </c>
      <c r="B3" s="423"/>
      <c r="C3" s="423"/>
      <c r="D3" s="423"/>
      <c r="E3" s="423"/>
      <c r="F3" s="423"/>
    </row>
    <row r="4" spans="1:17" ht="14.25" customHeight="1">
      <c r="A4" s="137"/>
      <c r="B4" s="141"/>
      <c r="C4" s="122"/>
      <c r="D4" s="122"/>
      <c r="E4" s="123"/>
      <c r="F4" s="122"/>
    </row>
    <row r="5" spans="1:17" ht="14.25" customHeight="1">
      <c r="A5" s="431" t="s">
        <v>64</v>
      </c>
      <c r="B5" s="146" t="s">
        <v>146</v>
      </c>
      <c r="C5" s="146" t="s">
        <v>146</v>
      </c>
      <c r="D5" s="146" t="s">
        <v>147</v>
      </c>
      <c r="E5" s="147" t="s">
        <v>148</v>
      </c>
      <c r="F5" s="148" t="s">
        <v>147</v>
      </c>
    </row>
    <row r="6" spans="1:17" ht="14.25" customHeight="1">
      <c r="A6" s="432"/>
      <c r="B6" s="149" t="s">
        <v>149</v>
      </c>
      <c r="C6" s="149" t="s">
        <v>150</v>
      </c>
      <c r="D6" s="149" t="s">
        <v>66</v>
      </c>
      <c r="E6" s="150" t="s">
        <v>151</v>
      </c>
      <c r="F6" s="151" t="s">
        <v>178</v>
      </c>
    </row>
    <row r="7" spans="1:17" ht="14.25" customHeight="1" thickBot="1">
      <c r="A7" s="433"/>
      <c r="B7" s="152" t="s">
        <v>153</v>
      </c>
      <c r="C7" s="152" t="s">
        <v>153</v>
      </c>
      <c r="D7" s="152" t="s">
        <v>154</v>
      </c>
      <c r="E7" s="153" t="s">
        <v>155</v>
      </c>
      <c r="F7" s="154" t="s">
        <v>156</v>
      </c>
    </row>
    <row r="8" spans="1:17" ht="14.25" customHeight="1" thickBot="1">
      <c r="A8" s="155" t="s">
        <v>8</v>
      </c>
      <c r="B8" s="156" t="s">
        <v>9</v>
      </c>
      <c r="C8" s="157" t="s">
        <v>10</v>
      </c>
      <c r="D8" s="157" t="s">
        <v>11</v>
      </c>
      <c r="E8" s="157" t="s">
        <v>12</v>
      </c>
      <c r="F8" s="157" t="s">
        <v>35</v>
      </c>
      <c r="G8" s="338">
        <v>10</v>
      </c>
      <c r="H8" s="314">
        <f>I8/1000</f>
        <v>2.0800000000000001E-4</v>
      </c>
      <c r="I8">
        <f>J8*52</f>
        <v>0.20800000000000002</v>
      </c>
      <c r="J8" s="378">
        <v>4.0000000000000001E-3</v>
      </c>
      <c r="K8" s="394" t="s">
        <v>262</v>
      </c>
      <c r="L8" s="394" t="s">
        <v>260</v>
      </c>
      <c r="M8" s="394" t="s">
        <v>263</v>
      </c>
      <c r="N8" s="397" t="s">
        <v>264</v>
      </c>
      <c r="O8" s="403" t="s">
        <v>265</v>
      </c>
      <c r="P8" s="403" t="s">
        <v>266</v>
      </c>
      <c r="Q8" s="403" t="s">
        <v>267</v>
      </c>
    </row>
    <row r="9" spans="1:17" ht="24.75" customHeight="1">
      <c r="A9" s="158" t="s">
        <v>157</v>
      </c>
      <c r="B9" s="159">
        <f>1400/100</f>
        <v>14</v>
      </c>
      <c r="C9" s="160">
        <f>904/100</f>
        <v>9.0399999999999991</v>
      </c>
      <c r="D9" s="159">
        <f>539/10</f>
        <v>53.9</v>
      </c>
      <c r="E9" s="375">
        <f t="shared" ref="E9:E25" si="0">(D9*10)/C9</f>
        <v>59.623893805309741</v>
      </c>
      <c r="F9" s="162">
        <f>$H$8*H9</f>
        <v>13.537680000000002</v>
      </c>
      <c r="G9" s="338"/>
      <c r="H9" s="338">
        <v>65085</v>
      </c>
      <c r="K9">
        <v>539</v>
      </c>
      <c r="L9">
        <v>904</v>
      </c>
      <c r="M9">
        <v>1400</v>
      </c>
      <c r="N9">
        <v>1400</v>
      </c>
      <c r="O9">
        <v>1400</v>
      </c>
      <c r="P9">
        <v>1400</v>
      </c>
    </row>
    <row r="10" spans="1:17" ht="24.75" customHeight="1">
      <c r="A10" s="158" t="s">
        <v>158</v>
      </c>
      <c r="B10" s="159">
        <f>142/100</f>
        <v>1.42</v>
      </c>
      <c r="C10" s="160">
        <f>44/100</f>
        <v>0.44</v>
      </c>
      <c r="D10" s="159">
        <f>44/10</f>
        <v>4.4000000000000004</v>
      </c>
      <c r="E10" s="375">
        <f t="shared" si="0"/>
        <v>100</v>
      </c>
      <c r="F10" s="162">
        <f t="shared" ref="F10:F25" si="1">$H$8*H10</f>
        <v>22.260784000000001</v>
      </c>
      <c r="G10" s="338"/>
      <c r="H10" s="338">
        <v>107023</v>
      </c>
      <c r="K10">
        <v>44</v>
      </c>
      <c r="L10">
        <v>44</v>
      </c>
      <c r="M10">
        <v>142</v>
      </c>
      <c r="N10">
        <v>142</v>
      </c>
      <c r="O10">
        <v>142</v>
      </c>
      <c r="P10">
        <v>142</v>
      </c>
    </row>
    <row r="11" spans="1:17" ht="24.75" customHeight="1">
      <c r="A11" s="158" t="s">
        <v>159</v>
      </c>
      <c r="B11" s="159">
        <f>206/100</f>
        <v>2.06</v>
      </c>
      <c r="C11" s="160">
        <f>63/100</f>
        <v>0.63</v>
      </c>
      <c r="D11" s="159">
        <f>300/10</f>
        <v>30</v>
      </c>
      <c r="E11" s="375">
        <f t="shared" si="0"/>
        <v>476.1904761904762</v>
      </c>
      <c r="F11" s="162">
        <f t="shared" si="1"/>
        <v>24.377184000000003</v>
      </c>
      <c r="G11" s="338"/>
      <c r="H11" s="338">
        <v>117198</v>
      </c>
      <c r="K11">
        <v>300</v>
      </c>
      <c r="L11">
        <v>63</v>
      </c>
      <c r="M11">
        <v>206</v>
      </c>
      <c r="N11">
        <v>206</v>
      </c>
      <c r="O11">
        <v>196</v>
      </c>
      <c r="P11">
        <v>182</v>
      </c>
    </row>
    <row r="12" spans="1:17" ht="24.75" customHeight="1">
      <c r="A12" s="158" t="s">
        <v>160</v>
      </c>
      <c r="B12" s="159">
        <f>1393/100</f>
        <v>13.93</v>
      </c>
      <c r="C12" s="160">
        <f>605/100</f>
        <v>6.05</v>
      </c>
      <c r="D12" s="159">
        <f>295/10</f>
        <v>29.5</v>
      </c>
      <c r="E12" s="375">
        <f t="shared" si="0"/>
        <v>48.760330578512395</v>
      </c>
      <c r="F12" s="162">
        <f t="shared" si="1"/>
        <v>24.231168</v>
      </c>
      <c r="G12" s="338"/>
      <c r="H12" s="338">
        <v>116496</v>
      </c>
      <c r="K12">
        <v>294.95999999999998</v>
      </c>
      <c r="L12">
        <v>605</v>
      </c>
      <c r="M12">
        <v>1393</v>
      </c>
      <c r="N12">
        <v>1393</v>
      </c>
      <c r="O12">
        <v>1379</v>
      </c>
      <c r="P12">
        <v>1364</v>
      </c>
    </row>
    <row r="13" spans="1:17" ht="24.75" customHeight="1">
      <c r="A13" s="158" t="s">
        <v>161</v>
      </c>
      <c r="B13" s="159">
        <f>181/100</f>
        <v>1.81</v>
      </c>
      <c r="C13" s="160">
        <f>52/100</f>
        <v>0.52</v>
      </c>
      <c r="D13" s="159">
        <f>84/10</f>
        <v>8.4</v>
      </c>
      <c r="E13" s="375">
        <f t="shared" si="0"/>
        <v>161.53846153846152</v>
      </c>
      <c r="F13" s="162">
        <f t="shared" si="1"/>
        <v>14.977664000000001</v>
      </c>
      <c r="G13" s="338"/>
      <c r="H13" s="338">
        <v>72008</v>
      </c>
      <c r="K13">
        <v>84</v>
      </c>
      <c r="L13">
        <v>52</v>
      </c>
      <c r="M13">
        <v>181</v>
      </c>
      <c r="N13">
        <v>181</v>
      </c>
      <c r="O13">
        <v>181</v>
      </c>
      <c r="P13">
        <v>181</v>
      </c>
    </row>
    <row r="14" spans="1:17" ht="24.75" customHeight="1">
      <c r="A14" s="158" t="s">
        <v>162</v>
      </c>
      <c r="B14" s="159">
        <f>6279/100</f>
        <v>62.79</v>
      </c>
      <c r="C14" s="160">
        <f>90/100</f>
        <v>0.9</v>
      </c>
      <c r="D14" s="159">
        <f>38/10</f>
        <v>3.8</v>
      </c>
      <c r="E14" s="375">
        <f t="shared" si="0"/>
        <v>42.222222222222221</v>
      </c>
      <c r="F14" s="162">
        <f t="shared" si="1"/>
        <v>16.549520000000001</v>
      </c>
      <c r="G14" s="338"/>
      <c r="H14" s="338">
        <v>79565</v>
      </c>
      <c r="K14">
        <v>37.6</v>
      </c>
      <c r="L14">
        <v>90</v>
      </c>
      <c r="M14">
        <v>6279</v>
      </c>
      <c r="N14">
        <v>6279</v>
      </c>
      <c r="O14">
        <v>6174</v>
      </c>
      <c r="P14">
        <v>5899</v>
      </c>
    </row>
    <row r="15" spans="1:17" ht="24.75" customHeight="1">
      <c r="A15" s="158" t="s">
        <v>163</v>
      </c>
      <c r="B15" s="160">
        <v>0</v>
      </c>
      <c r="C15" s="160">
        <v>0</v>
      </c>
      <c r="D15" s="160">
        <v>0</v>
      </c>
      <c r="E15" s="160">
        <v>0</v>
      </c>
      <c r="F15" s="162">
        <f t="shared" si="1"/>
        <v>33.903376000000002</v>
      </c>
      <c r="G15" s="338"/>
      <c r="H15" s="338">
        <v>162997</v>
      </c>
      <c r="K15">
        <v>0</v>
      </c>
      <c r="L15">
        <v>0</v>
      </c>
    </row>
    <row r="16" spans="1:17" ht="24.75" customHeight="1">
      <c r="A16" s="158" t="s">
        <v>164</v>
      </c>
      <c r="B16" s="159">
        <f>6880/100</f>
        <v>68.8</v>
      </c>
      <c r="C16" s="160">
        <f>5680/100</f>
        <v>56.8</v>
      </c>
      <c r="D16" s="159">
        <f>2320/10</f>
        <v>232</v>
      </c>
      <c r="E16" s="375">
        <f t="shared" si="0"/>
        <v>40.845070422535215</v>
      </c>
      <c r="F16" s="162">
        <f t="shared" si="1"/>
        <v>30.541472000000002</v>
      </c>
      <c r="G16" s="338"/>
      <c r="H16" s="338">
        <v>146834</v>
      </c>
      <c r="K16">
        <v>2320</v>
      </c>
      <c r="L16">
        <v>5680</v>
      </c>
      <c r="M16">
        <v>6880</v>
      </c>
      <c r="N16">
        <v>6880</v>
      </c>
      <c r="O16">
        <v>6800</v>
      </c>
      <c r="P16">
        <v>6600</v>
      </c>
    </row>
    <row r="17" spans="1:16" ht="24.75" customHeight="1">
      <c r="A17" s="158" t="s">
        <v>165</v>
      </c>
      <c r="B17" s="159">
        <f>23/100</f>
        <v>0.23</v>
      </c>
      <c r="C17" s="160">
        <f>15/100</f>
        <v>0.15</v>
      </c>
      <c r="D17" s="159">
        <f>18/10</f>
        <v>1.8</v>
      </c>
      <c r="E17" s="375">
        <f t="shared" si="0"/>
        <v>120</v>
      </c>
      <c r="F17" s="162">
        <f t="shared" si="1"/>
        <v>27.564160000000001</v>
      </c>
      <c r="G17" s="338"/>
      <c r="H17" s="338">
        <v>132520</v>
      </c>
      <c r="K17">
        <v>18</v>
      </c>
      <c r="L17">
        <v>15</v>
      </c>
      <c r="M17">
        <v>23</v>
      </c>
      <c r="N17">
        <v>23</v>
      </c>
      <c r="O17">
        <v>23</v>
      </c>
      <c r="P17">
        <v>23</v>
      </c>
    </row>
    <row r="18" spans="1:16" ht="24.75" customHeight="1">
      <c r="A18" s="158" t="s">
        <v>166</v>
      </c>
      <c r="B18" s="159">
        <f>657/100</f>
        <v>6.57</v>
      </c>
      <c r="C18" s="160">
        <f>593/100</f>
        <v>5.93</v>
      </c>
      <c r="D18" s="159">
        <f>9242/10</f>
        <v>924.2</v>
      </c>
      <c r="E18" s="375">
        <f t="shared" si="0"/>
        <v>1558.5160202360878</v>
      </c>
      <c r="F18" s="162">
        <f t="shared" si="1"/>
        <v>29.831776000000001</v>
      </c>
      <c r="G18" s="338"/>
      <c r="H18" s="338">
        <v>143422</v>
      </c>
      <c r="K18">
        <v>9241.67</v>
      </c>
      <c r="L18">
        <v>593</v>
      </c>
      <c r="M18">
        <v>657</v>
      </c>
      <c r="N18">
        <v>657</v>
      </c>
      <c r="O18">
        <v>612</v>
      </c>
      <c r="P18">
        <v>610</v>
      </c>
    </row>
    <row r="19" spans="1:16" ht="24.75" customHeight="1">
      <c r="A19" s="158" t="s">
        <v>167</v>
      </c>
      <c r="B19" s="159">
        <f>70/100</f>
        <v>0.7</v>
      </c>
      <c r="C19" s="160">
        <f>60/100</f>
        <v>0.6</v>
      </c>
      <c r="D19" s="159">
        <f>58/10</f>
        <v>5.8</v>
      </c>
      <c r="E19" s="375">
        <f t="shared" si="0"/>
        <v>96.666666666666671</v>
      </c>
      <c r="F19" s="162">
        <f t="shared" si="1"/>
        <v>22.612512000000002</v>
      </c>
      <c r="G19" s="338"/>
      <c r="H19" s="338">
        <v>108714</v>
      </c>
      <c r="K19">
        <v>58</v>
      </c>
      <c r="L19">
        <v>60</v>
      </c>
      <c r="M19">
        <v>70</v>
      </c>
      <c r="N19">
        <v>70</v>
      </c>
      <c r="O19">
        <v>70</v>
      </c>
      <c r="P19">
        <v>70</v>
      </c>
    </row>
    <row r="20" spans="1:16" ht="24.75" customHeight="1">
      <c r="A20" s="158" t="s">
        <v>168</v>
      </c>
      <c r="B20" s="159">
        <f>15/100</f>
        <v>0.15</v>
      </c>
      <c r="C20" s="160">
        <f>11/100</f>
        <v>0.11</v>
      </c>
      <c r="D20" s="159">
        <f>14/10</f>
        <v>1.4</v>
      </c>
      <c r="E20" s="375">
        <f t="shared" si="0"/>
        <v>127.27272727272727</v>
      </c>
      <c r="F20" s="162">
        <f t="shared" si="1"/>
        <v>14.536704</v>
      </c>
      <c r="G20" s="338"/>
      <c r="H20" s="338">
        <v>69888</v>
      </c>
      <c r="K20">
        <v>13.729999999999999</v>
      </c>
      <c r="L20">
        <v>11</v>
      </c>
      <c r="M20">
        <v>15</v>
      </c>
      <c r="N20">
        <v>15</v>
      </c>
      <c r="O20">
        <v>12</v>
      </c>
      <c r="P20">
        <v>12</v>
      </c>
    </row>
    <row r="21" spans="1:16" ht="24.75" customHeight="1">
      <c r="A21" s="158" t="s">
        <v>169</v>
      </c>
      <c r="B21" s="159">
        <f>88/100</f>
        <v>0.88</v>
      </c>
      <c r="C21" s="160">
        <f>38/100</f>
        <v>0.38</v>
      </c>
      <c r="D21" s="159">
        <f>72/10</f>
        <v>7.2</v>
      </c>
      <c r="E21" s="375">
        <f t="shared" si="0"/>
        <v>189.4736842105263</v>
      </c>
      <c r="F21" s="162">
        <f t="shared" si="1"/>
        <v>38.800112000000006</v>
      </c>
      <c r="G21" s="338"/>
      <c r="H21" s="338">
        <v>186539</v>
      </c>
      <c r="K21">
        <v>71.66</v>
      </c>
      <c r="L21">
        <v>38</v>
      </c>
      <c r="M21">
        <v>88</v>
      </c>
      <c r="N21">
        <v>88</v>
      </c>
      <c r="O21">
        <v>76</v>
      </c>
      <c r="P21">
        <v>75</v>
      </c>
    </row>
    <row r="22" spans="1:16" ht="24.75" customHeight="1">
      <c r="A22" s="158" t="s">
        <v>170</v>
      </c>
      <c r="B22" s="160">
        <v>0</v>
      </c>
      <c r="C22" s="160">
        <v>0</v>
      </c>
      <c r="D22" s="160">
        <v>0</v>
      </c>
      <c r="E22" s="160">
        <v>0</v>
      </c>
      <c r="F22" s="162">
        <f t="shared" si="1"/>
        <v>34.846032000000001</v>
      </c>
      <c r="G22" s="338"/>
      <c r="H22" s="338">
        <v>167529</v>
      </c>
      <c r="K22">
        <v>0</v>
      </c>
    </row>
    <row r="23" spans="1:16" ht="24.75" customHeight="1">
      <c r="A23" s="158" t="s">
        <v>171</v>
      </c>
      <c r="B23" s="160">
        <v>0</v>
      </c>
      <c r="C23" s="160">
        <v>0</v>
      </c>
      <c r="D23" s="160">
        <v>0</v>
      </c>
      <c r="E23" s="160">
        <v>0</v>
      </c>
      <c r="F23" s="162">
        <f t="shared" si="1"/>
        <v>18.744336000000001</v>
      </c>
      <c r="G23" s="338"/>
      <c r="H23" s="338">
        <v>90117</v>
      </c>
      <c r="K23">
        <v>0</v>
      </c>
    </row>
    <row r="24" spans="1:16" ht="24.75" customHeight="1">
      <c r="A24" s="158" t="s">
        <v>172</v>
      </c>
      <c r="B24" s="160">
        <v>0</v>
      </c>
      <c r="C24" s="160">
        <v>0</v>
      </c>
      <c r="D24" s="160">
        <v>0</v>
      </c>
      <c r="E24" s="160">
        <v>0</v>
      </c>
      <c r="F24" s="162">
        <f t="shared" si="1"/>
        <v>18.282992</v>
      </c>
      <c r="G24" s="338"/>
      <c r="H24" s="338">
        <v>87899</v>
      </c>
      <c r="K24">
        <v>0</v>
      </c>
    </row>
    <row r="25" spans="1:16" ht="24.75" customHeight="1">
      <c r="A25" s="182" t="s">
        <v>173</v>
      </c>
      <c r="B25" s="160">
        <v>0</v>
      </c>
      <c r="C25" s="160">
        <v>0</v>
      </c>
      <c r="D25" s="160">
        <v>0</v>
      </c>
      <c r="E25" s="160">
        <v>0</v>
      </c>
      <c r="F25" s="162">
        <f t="shared" si="1"/>
        <v>39.362544</v>
      </c>
      <c r="G25" s="338"/>
      <c r="H25" s="338">
        <v>189243</v>
      </c>
      <c r="K25">
        <v>0</v>
      </c>
    </row>
    <row r="26" spans="1:16" ht="24.75" customHeight="1">
      <c r="A26" s="12">
        <v>2025</v>
      </c>
      <c r="B26" s="186">
        <f>SUM(B9:B25)</f>
        <v>173.33999999999997</v>
      </c>
      <c r="C26" s="186">
        <f t="shared" ref="C26:F26" si="2">SUM(C9:C25)</f>
        <v>81.55</v>
      </c>
      <c r="D26" s="186">
        <f t="shared" si="2"/>
        <v>1302.4000000000001</v>
      </c>
      <c r="E26" s="186">
        <f t="shared" si="2"/>
        <v>3021.1095531435253</v>
      </c>
      <c r="F26" s="186">
        <f t="shared" si="2"/>
        <v>424.96001599999994</v>
      </c>
    </row>
    <row r="27" spans="1:16" ht="24.75" customHeight="1">
      <c r="A27" s="12">
        <f t="shared" ref="A27:A30" si="3">A26-1</f>
        <v>2024</v>
      </c>
      <c r="B27" s="167">
        <v>178.54999999999998</v>
      </c>
      <c r="C27" s="167">
        <v>88.71</v>
      </c>
      <c r="D27" s="167">
        <v>574.04999999999995</v>
      </c>
      <c r="E27" s="187">
        <v>64.710855596888749</v>
      </c>
      <c r="F27" s="188">
        <v>103.45715797075397</v>
      </c>
    </row>
    <row r="28" spans="1:16" ht="24.75" customHeight="1">
      <c r="A28" s="12">
        <f t="shared" si="3"/>
        <v>2023</v>
      </c>
      <c r="B28" s="169">
        <v>188.92</v>
      </c>
      <c r="C28" s="169">
        <v>89.960000000000022</v>
      </c>
      <c r="D28" s="169">
        <v>373.73500000000001</v>
      </c>
      <c r="E28" s="170">
        <v>76.542951786633978</v>
      </c>
      <c r="F28" s="171">
        <v>102.61585318532222</v>
      </c>
    </row>
    <row r="29" spans="1:16" ht="24.75" customHeight="1">
      <c r="A29" s="12">
        <f t="shared" si="3"/>
        <v>2022</v>
      </c>
      <c r="B29" s="169">
        <v>200.72</v>
      </c>
      <c r="C29" s="169">
        <v>94.77</v>
      </c>
      <c r="D29" s="169">
        <v>525.27099999999996</v>
      </c>
      <c r="E29" s="170">
        <v>73.124810851805123</v>
      </c>
      <c r="F29" s="171">
        <v>101.09550669524812</v>
      </c>
    </row>
    <row r="30" spans="1:16" ht="24.75" customHeight="1">
      <c r="A30" s="12">
        <f t="shared" si="3"/>
        <v>2021</v>
      </c>
      <c r="B30" s="169">
        <v>205.72</v>
      </c>
      <c r="C30" s="169">
        <v>104.79</v>
      </c>
      <c r="D30" s="169">
        <v>660.49999999999989</v>
      </c>
      <c r="E30" s="170">
        <v>63.030823551865623</v>
      </c>
      <c r="F30" s="171">
        <v>100.21424944500001</v>
      </c>
    </row>
    <row r="31" spans="1:16" ht="14.25" customHeight="1">
      <c r="A31" s="172"/>
      <c r="B31" s="169"/>
      <c r="C31" s="169"/>
      <c r="D31" s="169"/>
      <c r="E31" s="170"/>
      <c r="F31" s="171"/>
    </row>
    <row r="32" spans="1:16" ht="14.25" customHeight="1">
      <c r="A32" s="158"/>
      <c r="B32" s="159"/>
      <c r="C32" s="159"/>
      <c r="D32" s="159"/>
      <c r="E32" s="161"/>
      <c r="F32" s="181"/>
    </row>
    <row r="33" spans="1:6" ht="14.25" customHeight="1">
      <c r="A33" s="173"/>
      <c r="B33" s="174"/>
      <c r="C33" s="174"/>
      <c r="D33" s="174"/>
      <c r="E33" s="176"/>
      <c r="F33" s="177"/>
    </row>
    <row r="34" spans="1:6" ht="14.25" customHeight="1">
      <c r="A34" s="120" t="s">
        <v>144</v>
      </c>
      <c r="B34" s="121"/>
      <c r="C34" s="122"/>
      <c r="D34" s="122"/>
      <c r="E34" s="123"/>
      <c r="F34" s="122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F1"/>
    <mergeCell ref="A2:F2"/>
    <mergeCell ref="A3:F3"/>
    <mergeCell ref="A5:A7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00"/>
  <sheetViews>
    <sheetView workbookViewId="0">
      <selection activeCell="E9" sqref="E9"/>
    </sheetView>
  </sheetViews>
  <sheetFormatPr defaultColWidth="14.42578125" defaultRowHeight="15" customHeight="1"/>
  <cols>
    <col min="1" max="1" width="18.28515625" customWidth="1"/>
    <col min="2" max="2" width="10.85546875" customWidth="1"/>
    <col min="3" max="3" width="13" customWidth="1"/>
    <col min="4" max="4" width="16.42578125" customWidth="1"/>
    <col min="5" max="5" width="13.140625" customWidth="1"/>
    <col min="6" max="6" width="16.5703125" customWidth="1"/>
    <col min="7" max="7" width="14" customWidth="1"/>
    <col min="8" max="8" width="13.42578125" customWidth="1"/>
    <col min="9" max="9" width="20.140625" customWidth="1"/>
    <col min="10" max="10" width="8.7109375" customWidth="1"/>
    <col min="11" max="11" width="14.7109375" customWidth="1"/>
    <col min="12" max="12" width="11.28515625" customWidth="1"/>
    <col min="13" max="26" width="8.7109375" customWidth="1"/>
  </cols>
  <sheetData>
    <row r="1" spans="1:12" ht="14.25" customHeight="1">
      <c r="A1" s="412" t="s">
        <v>0</v>
      </c>
      <c r="B1" s="411"/>
      <c r="C1" s="411"/>
      <c r="D1" s="411"/>
      <c r="E1" s="411"/>
      <c r="F1" s="411"/>
      <c r="G1" s="411"/>
      <c r="H1" s="411"/>
    </row>
    <row r="2" spans="1:12" ht="14.25" customHeight="1">
      <c r="A2" s="412" t="s">
        <v>28</v>
      </c>
      <c r="B2" s="411"/>
      <c r="C2" s="411"/>
      <c r="D2" s="411"/>
      <c r="E2" s="411"/>
      <c r="F2" s="411"/>
      <c r="G2" s="411"/>
      <c r="H2" s="411"/>
    </row>
    <row r="3" spans="1:12" ht="14.25" customHeight="1">
      <c r="A3" s="412" t="s">
        <v>54</v>
      </c>
      <c r="B3" s="411"/>
      <c r="C3" s="411"/>
      <c r="D3" s="411"/>
      <c r="E3" s="411"/>
      <c r="F3" s="411"/>
      <c r="G3" s="411"/>
      <c r="H3" s="411"/>
    </row>
    <row r="4" spans="1:12" ht="14.25" customHeight="1">
      <c r="A4" s="412" t="s">
        <v>30</v>
      </c>
      <c r="B4" s="411"/>
      <c r="C4" s="411"/>
      <c r="D4" s="411"/>
      <c r="E4" s="411"/>
      <c r="F4" s="411"/>
      <c r="G4" s="411"/>
      <c r="H4" s="411"/>
    </row>
    <row r="5" spans="1:12" ht="14.25" customHeight="1">
      <c r="A5" s="16"/>
      <c r="B5" s="16"/>
      <c r="C5" s="16"/>
      <c r="D5" s="16"/>
      <c r="E5" s="16"/>
      <c r="F5" s="16"/>
      <c r="G5" s="16"/>
      <c r="H5" s="17"/>
    </row>
    <row r="6" spans="1:12" ht="14.25" customHeight="1">
      <c r="A6" s="418" t="s">
        <v>31</v>
      </c>
      <c r="B6" s="415" t="s">
        <v>32</v>
      </c>
      <c r="C6" s="415" t="s">
        <v>4</v>
      </c>
      <c r="D6" s="415" t="s">
        <v>5</v>
      </c>
      <c r="E6" s="415" t="s">
        <v>6</v>
      </c>
      <c r="F6" s="53" t="s">
        <v>55</v>
      </c>
      <c r="G6" s="415" t="s">
        <v>34</v>
      </c>
      <c r="H6" s="18"/>
    </row>
    <row r="7" spans="1:12" ht="14.25" customHeight="1">
      <c r="A7" s="409"/>
      <c r="B7" s="409"/>
      <c r="C7" s="409"/>
      <c r="D7" s="409"/>
      <c r="E7" s="409"/>
      <c r="F7" s="53" t="s">
        <v>56</v>
      </c>
      <c r="G7" s="409"/>
      <c r="H7" s="18">
        <f>4.056/1000</f>
        <v>4.0559999999999997E-3</v>
      </c>
      <c r="I7" s="355" t="s">
        <v>255</v>
      </c>
      <c r="J7" s="378">
        <f>0.078*52</f>
        <v>4.056</v>
      </c>
      <c r="L7" s="23"/>
    </row>
    <row r="8" spans="1:12" ht="14.25" customHeight="1">
      <c r="A8" s="19" t="s">
        <v>8</v>
      </c>
      <c r="B8" s="191" t="s">
        <v>9</v>
      </c>
      <c r="C8" s="191" t="s">
        <v>10</v>
      </c>
      <c r="D8" s="191" t="s">
        <v>11</v>
      </c>
      <c r="E8" s="19" t="s">
        <v>12</v>
      </c>
      <c r="F8" s="19" t="s">
        <v>35</v>
      </c>
      <c r="G8" s="19" t="s">
        <v>36</v>
      </c>
      <c r="H8" s="314">
        <v>2087331</v>
      </c>
      <c r="I8" s="365" t="s">
        <v>256</v>
      </c>
      <c r="L8" s="47"/>
    </row>
    <row r="9" spans="1:12" ht="14.25" customHeight="1">
      <c r="A9" s="190" t="s">
        <v>37</v>
      </c>
      <c r="B9" s="193">
        <v>21</v>
      </c>
      <c r="C9" s="194">
        <v>312</v>
      </c>
      <c r="D9" s="278">
        <f>0.9466*C9</f>
        <v>295.33920000000001</v>
      </c>
      <c r="E9" s="362">
        <f>$H$7*$H$8/12</f>
        <v>705.517878</v>
      </c>
      <c r="F9" s="266">
        <f>D9-E9</f>
        <v>-410.17867799999999</v>
      </c>
      <c r="G9" s="267">
        <f>F9</f>
        <v>-410.17867799999999</v>
      </c>
      <c r="H9" s="338"/>
      <c r="I9" s="338"/>
    </row>
    <row r="10" spans="1:12" ht="14.25" customHeight="1">
      <c r="A10" s="190" t="s">
        <v>38</v>
      </c>
      <c r="B10" s="193">
        <v>16</v>
      </c>
      <c r="C10" s="194">
        <v>222</v>
      </c>
      <c r="D10" s="278">
        <f t="shared" ref="D10:D18" si="0">0.9466*C10</f>
        <v>210.14519999999999</v>
      </c>
      <c r="E10" s="362">
        <f t="shared" ref="E10:E20" si="1">$H$7*$H$8/12</f>
        <v>705.517878</v>
      </c>
      <c r="F10" s="266">
        <f t="shared" ref="F10:F20" si="2">D10-E10</f>
        <v>-495.37267800000001</v>
      </c>
      <c r="G10" s="267">
        <f>G9+F10</f>
        <v>-905.55135599999994</v>
      </c>
      <c r="H10" s="338"/>
      <c r="I10" s="338"/>
    </row>
    <row r="11" spans="1:12" ht="14.25" customHeight="1">
      <c r="A11" s="190" t="s">
        <v>39</v>
      </c>
      <c r="B11" s="194">
        <v>13</v>
      </c>
      <c r="C11" s="193">
        <v>218</v>
      </c>
      <c r="D11" s="278">
        <f t="shared" si="0"/>
        <v>206.3588</v>
      </c>
      <c r="E11" s="362">
        <f t="shared" si="1"/>
        <v>705.517878</v>
      </c>
      <c r="F11" s="266">
        <f t="shared" si="2"/>
        <v>-499.15907800000002</v>
      </c>
      <c r="G11" s="267">
        <f t="shared" ref="G11:G20" si="3">G10+F11</f>
        <v>-1404.7104340000001</v>
      </c>
      <c r="H11" s="338"/>
      <c r="I11" s="338"/>
    </row>
    <row r="12" spans="1:12" ht="14.25" customHeight="1">
      <c r="A12" s="190" t="s">
        <v>40</v>
      </c>
      <c r="B12" s="194">
        <v>21</v>
      </c>
      <c r="C12" s="194">
        <v>340</v>
      </c>
      <c r="D12" s="278">
        <f t="shared" si="0"/>
        <v>321.84399999999999</v>
      </c>
      <c r="E12" s="362">
        <f t="shared" si="1"/>
        <v>705.517878</v>
      </c>
      <c r="F12" s="266">
        <f t="shared" si="2"/>
        <v>-383.673878</v>
      </c>
      <c r="G12" s="267">
        <f t="shared" si="3"/>
        <v>-1788.3843120000001</v>
      </c>
      <c r="H12" s="338"/>
      <c r="I12" s="338"/>
    </row>
    <row r="13" spans="1:12" ht="14.25" customHeight="1">
      <c r="A13" s="190" t="s">
        <v>41</v>
      </c>
      <c r="B13" s="194">
        <v>14</v>
      </c>
      <c r="C13" s="194">
        <v>217</v>
      </c>
      <c r="D13" s="278">
        <f t="shared" si="0"/>
        <v>205.41220000000001</v>
      </c>
      <c r="E13" s="362">
        <f t="shared" si="1"/>
        <v>705.517878</v>
      </c>
      <c r="F13" s="266">
        <f t="shared" si="2"/>
        <v>-500.10567800000001</v>
      </c>
      <c r="G13" s="267">
        <f t="shared" si="3"/>
        <v>-2288.48999</v>
      </c>
      <c r="H13" s="338"/>
      <c r="I13" s="338"/>
    </row>
    <row r="14" spans="1:12" ht="14.25" customHeight="1">
      <c r="A14" s="190" t="s">
        <v>42</v>
      </c>
      <c r="B14" s="194">
        <v>21</v>
      </c>
      <c r="C14" s="193">
        <v>310</v>
      </c>
      <c r="D14" s="278">
        <f t="shared" si="0"/>
        <v>293.44600000000003</v>
      </c>
      <c r="E14" s="362">
        <f t="shared" si="1"/>
        <v>705.517878</v>
      </c>
      <c r="F14" s="266">
        <f t="shared" si="2"/>
        <v>-412.07187799999997</v>
      </c>
      <c r="G14" s="267">
        <f t="shared" si="3"/>
        <v>-2700.5618679999998</v>
      </c>
      <c r="H14" s="338"/>
      <c r="I14" s="338"/>
      <c r="K14" s="23"/>
    </row>
    <row r="15" spans="1:12" ht="14.25" customHeight="1">
      <c r="A15" s="190" t="s">
        <v>43</v>
      </c>
      <c r="B15" s="194">
        <v>25</v>
      </c>
      <c r="C15" s="194">
        <v>370</v>
      </c>
      <c r="D15" s="278">
        <f t="shared" si="0"/>
        <v>350.24200000000002</v>
      </c>
      <c r="E15" s="362">
        <f t="shared" si="1"/>
        <v>705.517878</v>
      </c>
      <c r="F15" s="266">
        <f t="shared" si="2"/>
        <v>-355.27587799999998</v>
      </c>
      <c r="G15" s="267">
        <f t="shared" si="3"/>
        <v>-3055.8377459999997</v>
      </c>
      <c r="H15" s="338"/>
      <c r="I15" s="338"/>
      <c r="K15" s="23"/>
    </row>
    <row r="16" spans="1:12" ht="14.25" customHeight="1">
      <c r="A16" s="190" t="s">
        <v>44</v>
      </c>
      <c r="B16" s="194">
        <v>28</v>
      </c>
      <c r="C16" s="194">
        <v>280</v>
      </c>
      <c r="D16" s="278">
        <f t="shared" si="0"/>
        <v>265.048</v>
      </c>
      <c r="E16" s="362">
        <f t="shared" si="1"/>
        <v>705.517878</v>
      </c>
      <c r="F16" s="266">
        <f t="shared" si="2"/>
        <v>-440.46987799999999</v>
      </c>
      <c r="G16" s="267">
        <f t="shared" si="3"/>
        <v>-3496.3076239999996</v>
      </c>
      <c r="H16" s="338"/>
      <c r="I16" s="338"/>
      <c r="K16" s="23"/>
    </row>
    <row r="17" spans="1:11" ht="14.25" customHeight="1">
      <c r="A17" s="190" t="s">
        <v>45</v>
      </c>
      <c r="B17" s="194">
        <v>13</v>
      </c>
      <c r="C17" s="193">
        <v>178</v>
      </c>
      <c r="D17" s="278">
        <f t="shared" si="0"/>
        <v>168.4948</v>
      </c>
      <c r="E17" s="362">
        <f t="shared" si="1"/>
        <v>705.517878</v>
      </c>
      <c r="F17" s="266">
        <f t="shared" si="2"/>
        <v>-537.02307799999994</v>
      </c>
      <c r="G17" s="267">
        <f t="shared" si="3"/>
        <v>-4033.3307019999993</v>
      </c>
      <c r="H17" s="338"/>
      <c r="I17" s="338"/>
      <c r="K17" s="23"/>
    </row>
    <row r="18" spans="1:11" ht="14.25" customHeight="1">
      <c r="A18" s="190" t="s">
        <v>46</v>
      </c>
      <c r="B18" s="194">
        <v>19</v>
      </c>
      <c r="C18" s="194">
        <v>259</v>
      </c>
      <c r="D18" s="278">
        <f t="shared" si="0"/>
        <v>245.1694</v>
      </c>
      <c r="E18" s="362">
        <f t="shared" si="1"/>
        <v>705.517878</v>
      </c>
      <c r="F18" s="266">
        <f t="shared" si="2"/>
        <v>-460.348478</v>
      </c>
      <c r="G18" s="267">
        <f t="shared" si="3"/>
        <v>-4493.6791799999992</v>
      </c>
      <c r="H18" s="338"/>
      <c r="I18" s="338"/>
      <c r="K18" s="23"/>
    </row>
    <row r="19" spans="1:11" ht="14.25" customHeight="1">
      <c r="A19" s="190" t="s">
        <v>47</v>
      </c>
      <c r="B19" s="275">
        <v>0</v>
      </c>
      <c r="C19" s="275">
        <v>0</v>
      </c>
      <c r="D19" s="278">
        <f>0.9466*C19</f>
        <v>0</v>
      </c>
      <c r="E19" s="362">
        <f t="shared" si="1"/>
        <v>705.517878</v>
      </c>
      <c r="F19" s="266">
        <f t="shared" si="2"/>
        <v>-705.517878</v>
      </c>
      <c r="G19" s="267">
        <f t="shared" si="3"/>
        <v>-5199.1970579999988</v>
      </c>
      <c r="H19" s="338"/>
      <c r="I19" s="338"/>
    </row>
    <row r="20" spans="1:11" ht="14.25" customHeight="1">
      <c r="A20" s="190" t="s">
        <v>48</v>
      </c>
      <c r="B20" s="275">
        <v>0</v>
      </c>
      <c r="C20" s="193">
        <v>0.58402777777777803</v>
      </c>
      <c r="D20" s="278">
        <f>0.9466*C20</f>
        <v>0.55284069444444472</v>
      </c>
      <c r="E20" s="362">
        <f t="shared" si="1"/>
        <v>705.517878</v>
      </c>
      <c r="F20" s="266">
        <f t="shared" si="2"/>
        <v>-704.9650373055556</v>
      </c>
      <c r="G20" s="267">
        <f t="shared" si="3"/>
        <v>-5904.1620953055544</v>
      </c>
      <c r="H20" s="338"/>
      <c r="I20" s="338"/>
    </row>
    <row r="21" spans="1:11" ht="14.25" customHeight="1">
      <c r="A21" s="12">
        <v>2025</v>
      </c>
      <c r="B21" s="202">
        <f>SUM(B9:B20)</f>
        <v>191</v>
      </c>
      <c r="C21" s="202">
        <f t="shared" ref="C21:G21" si="4">SUM(C9:C20)</f>
        <v>2706.5840277777779</v>
      </c>
      <c r="D21" s="202">
        <f t="shared" si="4"/>
        <v>2562.0524406944446</v>
      </c>
      <c r="E21" s="202">
        <f t="shared" si="4"/>
        <v>8466.2145359999977</v>
      </c>
      <c r="F21" s="202">
        <f t="shared" si="4"/>
        <v>-5904.1620953055544</v>
      </c>
      <c r="G21" s="202">
        <f t="shared" si="4"/>
        <v>-35680.39104330555</v>
      </c>
      <c r="H21" s="338"/>
      <c r="I21" s="338"/>
    </row>
    <row r="22" spans="1:11" ht="14.25" customHeight="1">
      <c r="A22" s="12">
        <f t="shared" ref="A22:A25" si="5">A21-1</f>
        <v>2024</v>
      </c>
      <c r="B22" s="37">
        <v>408</v>
      </c>
      <c r="C22" s="25">
        <v>7326.7</v>
      </c>
      <c r="D22" s="25">
        <v>6935.4542199999996</v>
      </c>
      <c r="E22" s="25">
        <v>9670.8700000000008</v>
      </c>
      <c r="F22" s="39">
        <v>-2735.4157800000007</v>
      </c>
      <c r="G22" s="42">
        <v>-2735.4157800000007</v>
      </c>
      <c r="H22" s="338"/>
      <c r="I22" s="338"/>
    </row>
    <row r="23" spans="1:11" ht="14.25" customHeight="1">
      <c r="A23" s="12">
        <f t="shared" si="5"/>
        <v>2023</v>
      </c>
      <c r="B23" s="39">
        <v>510</v>
      </c>
      <c r="C23" s="13">
        <v>7975.9999999999991</v>
      </c>
      <c r="D23" s="25">
        <v>7550.0815999999995</v>
      </c>
      <c r="E23" s="25">
        <v>10625.240447999999</v>
      </c>
      <c r="F23" s="39">
        <v>-3075.1588479999991</v>
      </c>
      <c r="G23" s="42">
        <v>-3075.1588479999991</v>
      </c>
      <c r="H23" s="338"/>
      <c r="I23" s="338"/>
    </row>
    <row r="24" spans="1:11" ht="14.25" customHeight="1">
      <c r="A24" s="12">
        <f t="shared" si="5"/>
        <v>2022</v>
      </c>
      <c r="B24" s="40">
        <v>337.7</v>
      </c>
      <c r="C24" s="13">
        <v>313.93999999999994</v>
      </c>
      <c r="D24" s="13">
        <v>297.17560400000002</v>
      </c>
      <c r="E24" s="13">
        <v>10621.281300000001</v>
      </c>
      <c r="F24" s="40">
        <v>-10324.105695999999</v>
      </c>
      <c r="G24" s="40">
        <v>-10324.105695999999</v>
      </c>
      <c r="H24" s="338"/>
      <c r="I24" s="338"/>
    </row>
    <row r="25" spans="1:11" ht="14.25" customHeight="1">
      <c r="A25" s="12">
        <f t="shared" si="5"/>
        <v>2021</v>
      </c>
      <c r="B25" s="40">
        <v>521</v>
      </c>
      <c r="C25" s="13">
        <v>6655.1999999999989</v>
      </c>
      <c r="D25" s="52">
        <v>6299.8123199999991</v>
      </c>
      <c r="E25" s="32">
        <v>10542.539041613998</v>
      </c>
      <c r="F25" s="40">
        <v>-4242.7267216139962</v>
      </c>
      <c r="G25" s="40">
        <v>-4242.7267216139962</v>
      </c>
      <c r="H25" s="338"/>
      <c r="I25" s="338"/>
    </row>
    <row r="26" spans="1:11" ht="14.25" customHeight="1">
      <c r="A26" s="33"/>
      <c r="B26" s="40"/>
      <c r="C26" s="13"/>
      <c r="D26" s="52"/>
      <c r="E26" s="32"/>
      <c r="F26" s="40"/>
      <c r="G26" s="40"/>
      <c r="H26" s="338"/>
      <c r="I26" s="338"/>
    </row>
    <row r="27" spans="1:11" ht="14.25" customHeight="1">
      <c r="A27" s="18"/>
      <c r="B27" s="18"/>
      <c r="C27" s="18"/>
      <c r="D27" s="18"/>
      <c r="E27" s="18"/>
      <c r="F27" s="18"/>
      <c r="G27" s="18"/>
      <c r="H27" s="18"/>
    </row>
    <row r="28" spans="1:11" ht="14.25" customHeight="1">
      <c r="A28" s="15" t="s">
        <v>27</v>
      </c>
      <c r="B28" s="15"/>
      <c r="C28" s="15"/>
      <c r="D28" s="15"/>
      <c r="E28" s="15"/>
      <c r="F28" s="15"/>
      <c r="G28" s="15"/>
      <c r="H28" s="15"/>
    </row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D6:D7"/>
    <mergeCell ref="E6:E7"/>
    <mergeCell ref="A1:H1"/>
    <mergeCell ref="A2:H2"/>
    <mergeCell ref="A3:H3"/>
    <mergeCell ref="A4:H4"/>
    <mergeCell ref="A6:A7"/>
    <mergeCell ref="B6:B7"/>
    <mergeCell ref="C6:C7"/>
    <mergeCell ref="G6:G7"/>
  </mergeCells>
  <pageMargins left="0.7" right="0.7" top="0.75" bottom="0.75" header="0" footer="0"/>
  <pageSetup paperSize="9" scale="9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00"/>
  <sheetViews>
    <sheetView topLeftCell="A2" workbookViewId="0">
      <selection activeCell="E9" sqref="E9"/>
    </sheetView>
  </sheetViews>
  <sheetFormatPr defaultColWidth="14.42578125" defaultRowHeight="15" customHeight="1"/>
  <cols>
    <col min="1" max="1" width="27.28515625" customWidth="1"/>
    <col min="2" max="2" width="8.7109375" customWidth="1"/>
    <col min="4" max="4" width="18" customWidth="1"/>
    <col min="5" max="5" width="14.7109375" customWidth="1"/>
    <col min="6" max="6" width="20.7109375" customWidth="1"/>
    <col min="7" max="7" width="14.5703125" customWidth="1"/>
    <col min="8" max="8" width="9.42578125" customWidth="1"/>
    <col min="9" max="10" width="8.7109375" customWidth="1"/>
    <col min="11" max="11" width="14" customWidth="1"/>
    <col min="12" max="12" width="9.5703125" customWidth="1"/>
    <col min="13" max="26" width="8.7109375" customWidth="1"/>
  </cols>
  <sheetData>
    <row r="1" spans="1:12" ht="14.25" customHeight="1">
      <c r="A1" s="412" t="s">
        <v>0</v>
      </c>
      <c r="B1" s="411"/>
      <c r="C1" s="411"/>
      <c r="D1" s="411"/>
      <c r="E1" s="411"/>
      <c r="F1" s="411"/>
      <c r="G1" s="411"/>
      <c r="H1" s="411"/>
    </row>
    <row r="2" spans="1:12" ht="14.25" customHeight="1">
      <c r="A2" s="412" t="s">
        <v>28</v>
      </c>
      <c r="B2" s="411"/>
      <c r="C2" s="411"/>
      <c r="D2" s="411"/>
      <c r="E2" s="411"/>
      <c r="F2" s="411"/>
      <c r="G2" s="411"/>
      <c r="H2" s="411"/>
    </row>
    <row r="3" spans="1:12" ht="14.25" customHeight="1">
      <c r="A3" s="412" t="s">
        <v>57</v>
      </c>
      <c r="B3" s="411"/>
      <c r="C3" s="411"/>
      <c r="D3" s="411"/>
      <c r="E3" s="411"/>
      <c r="F3" s="411"/>
      <c r="G3" s="411"/>
      <c r="H3" s="411"/>
    </row>
    <row r="4" spans="1:12" ht="14.25" customHeight="1">
      <c r="A4" s="412" t="s">
        <v>30</v>
      </c>
      <c r="B4" s="411"/>
      <c r="C4" s="411"/>
      <c r="D4" s="411"/>
      <c r="E4" s="411"/>
      <c r="F4" s="411"/>
      <c r="G4" s="411"/>
      <c r="H4" s="411"/>
    </row>
    <row r="5" spans="1:12" ht="14.25" customHeight="1">
      <c r="A5" s="16"/>
      <c r="B5" s="16"/>
      <c r="C5" s="16"/>
      <c r="D5" s="16"/>
      <c r="E5" s="16"/>
      <c r="F5" s="16"/>
      <c r="G5" s="16"/>
      <c r="H5" s="17"/>
    </row>
    <row r="6" spans="1:12" ht="14.25" customHeight="1">
      <c r="A6" s="418" t="s">
        <v>31</v>
      </c>
      <c r="B6" s="415" t="s">
        <v>32</v>
      </c>
      <c r="C6" s="415" t="s">
        <v>4</v>
      </c>
      <c r="D6" s="415" t="s">
        <v>5</v>
      </c>
      <c r="E6" s="415" t="s">
        <v>6</v>
      </c>
      <c r="F6" s="415" t="s">
        <v>33</v>
      </c>
      <c r="G6" s="415" t="s">
        <v>34</v>
      </c>
      <c r="H6" s="18"/>
    </row>
    <row r="7" spans="1:12" ht="14.25" customHeight="1">
      <c r="A7" s="409"/>
      <c r="B7" s="409"/>
      <c r="C7" s="409"/>
      <c r="D7" s="409"/>
      <c r="E7" s="409"/>
      <c r="F7" s="409"/>
      <c r="G7" s="409"/>
    </row>
    <row r="8" spans="1:12" ht="14.25" customHeight="1">
      <c r="A8" s="19" t="s">
        <v>8</v>
      </c>
      <c r="B8" s="191" t="s">
        <v>9</v>
      </c>
      <c r="C8" s="191" t="s">
        <v>10</v>
      </c>
      <c r="D8" s="191" t="s">
        <v>11</v>
      </c>
      <c r="E8" s="19" t="s">
        <v>12</v>
      </c>
      <c r="F8" s="19" t="s">
        <v>35</v>
      </c>
      <c r="G8" s="19" t="s">
        <v>36</v>
      </c>
      <c r="H8" s="363">
        <f>1.82/1000</f>
        <v>1.82E-3</v>
      </c>
      <c r="I8" s="363"/>
      <c r="J8" s="378">
        <f>0.035*52</f>
        <v>1.8200000000000003</v>
      </c>
    </row>
    <row r="9" spans="1:12" ht="14.25" customHeight="1">
      <c r="A9" s="190" t="s">
        <v>37</v>
      </c>
      <c r="B9" s="275">
        <v>0</v>
      </c>
      <c r="C9" s="275">
        <v>0</v>
      </c>
      <c r="D9" s="279">
        <f>0.9466*C9</f>
        <v>0</v>
      </c>
      <c r="E9" s="362">
        <f>$H$8*$H$9/12</f>
        <v>316.57853499999999</v>
      </c>
      <c r="F9" s="268">
        <f>D9-E9</f>
        <v>-316.57853499999999</v>
      </c>
      <c r="G9" s="250">
        <f>F9</f>
        <v>-316.57853499999999</v>
      </c>
      <c r="H9" s="350">
        <v>2087331</v>
      </c>
      <c r="I9" s="338"/>
      <c r="J9" s="314"/>
      <c r="K9" s="365"/>
      <c r="L9" s="23"/>
    </row>
    <row r="10" spans="1:12" ht="14.25" customHeight="1">
      <c r="A10" s="190" t="s">
        <v>38</v>
      </c>
      <c r="B10" s="275">
        <v>0</v>
      </c>
      <c r="C10" s="275">
        <v>0</v>
      </c>
      <c r="D10" s="279">
        <f t="shared" ref="D10:D20" si="0">0.9466*C10</f>
        <v>0</v>
      </c>
      <c r="E10" s="362">
        <f t="shared" ref="E10:E20" si="1">$H$8*$H$9/12</f>
        <v>316.57853499999999</v>
      </c>
      <c r="F10" s="268">
        <f t="shared" ref="F10:F20" si="2">D10-E10</f>
        <v>-316.57853499999999</v>
      </c>
      <c r="G10" s="250">
        <f>G9+F10</f>
        <v>-633.15706999999998</v>
      </c>
      <c r="H10" s="338"/>
      <c r="I10" s="338"/>
      <c r="L10" s="24"/>
    </row>
    <row r="11" spans="1:12" ht="14.25" customHeight="1">
      <c r="A11" s="190" t="s">
        <v>39</v>
      </c>
      <c r="B11" s="275">
        <v>0</v>
      </c>
      <c r="C11" s="275">
        <v>0</v>
      </c>
      <c r="D11" s="279">
        <f t="shared" si="0"/>
        <v>0</v>
      </c>
      <c r="E11" s="362">
        <f t="shared" si="1"/>
        <v>316.57853499999999</v>
      </c>
      <c r="F11" s="268">
        <f t="shared" si="2"/>
        <v>-316.57853499999999</v>
      </c>
      <c r="G11" s="250">
        <f t="shared" ref="G11:G20" si="3">G10+F11</f>
        <v>-949.73560499999996</v>
      </c>
      <c r="H11" s="338"/>
      <c r="I11" s="338"/>
    </row>
    <row r="12" spans="1:12" ht="14.25" customHeight="1">
      <c r="A12" s="190" t="s">
        <v>40</v>
      </c>
      <c r="B12" s="275">
        <v>0</v>
      </c>
      <c r="C12" s="275">
        <v>0</v>
      </c>
      <c r="D12" s="279">
        <f t="shared" si="0"/>
        <v>0</v>
      </c>
      <c r="E12" s="362">
        <f t="shared" si="1"/>
        <v>316.57853499999999</v>
      </c>
      <c r="F12" s="268">
        <f t="shared" si="2"/>
        <v>-316.57853499999999</v>
      </c>
      <c r="G12" s="250">
        <f t="shared" si="3"/>
        <v>-1266.31414</v>
      </c>
      <c r="H12" s="338"/>
      <c r="I12" s="338"/>
    </row>
    <row r="13" spans="1:12" ht="14.25" customHeight="1">
      <c r="A13" s="190" t="s">
        <v>41</v>
      </c>
      <c r="B13" s="275">
        <v>0</v>
      </c>
      <c r="C13" s="275">
        <v>0</v>
      </c>
      <c r="D13" s="279">
        <f t="shared" si="0"/>
        <v>0</v>
      </c>
      <c r="E13" s="362">
        <f t="shared" si="1"/>
        <v>316.57853499999999</v>
      </c>
      <c r="F13" s="268">
        <f t="shared" si="2"/>
        <v>-316.57853499999999</v>
      </c>
      <c r="G13" s="250">
        <f t="shared" si="3"/>
        <v>-1582.8926750000001</v>
      </c>
      <c r="H13" s="338"/>
      <c r="I13" s="338"/>
    </row>
    <row r="14" spans="1:12" ht="14.25" customHeight="1">
      <c r="A14" s="190" t="s">
        <v>42</v>
      </c>
      <c r="B14" s="275">
        <v>0</v>
      </c>
      <c r="C14" s="275">
        <v>0</v>
      </c>
      <c r="D14" s="279">
        <f t="shared" si="0"/>
        <v>0</v>
      </c>
      <c r="E14" s="362">
        <f t="shared" si="1"/>
        <v>316.57853499999999</v>
      </c>
      <c r="F14" s="268">
        <f t="shared" si="2"/>
        <v>-316.57853499999999</v>
      </c>
      <c r="G14" s="250">
        <f t="shared" si="3"/>
        <v>-1899.4712100000002</v>
      </c>
      <c r="H14" s="338"/>
      <c r="I14" s="338"/>
    </row>
    <row r="15" spans="1:12" ht="14.25" customHeight="1">
      <c r="A15" s="190" t="s">
        <v>43</v>
      </c>
      <c r="B15" s="275">
        <v>0</v>
      </c>
      <c r="C15" s="275">
        <v>0</v>
      </c>
      <c r="D15" s="279">
        <f t="shared" si="0"/>
        <v>0</v>
      </c>
      <c r="E15" s="362">
        <f t="shared" si="1"/>
        <v>316.57853499999999</v>
      </c>
      <c r="F15" s="268">
        <f t="shared" si="2"/>
        <v>-316.57853499999999</v>
      </c>
      <c r="G15" s="250">
        <f t="shared" si="3"/>
        <v>-2216.0497450000003</v>
      </c>
      <c r="H15" s="338"/>
      <c r="I15" s="338"/>
    </row>
    <row r="16" spans="1:12" ht="14.25" customHeight="1">
      <c r="A16" s="190" t="s">
        <v>44</v>
      </c>
      <c r="B16" s="275">
        <v>0</v>
      </c>
      <c r="C16" s="275">
        <v>0</v>
      </c>
      <c r="D16" s="279">
        <f t="shared" si="0"/>
        <v>0</v>
      </c>
      <c r="E16" s="362">
        <f t="shared" si="1"/>
        <v>316.57853499999999</v>
      </c>
      <c r="F16" s="268">
        <f t="shared" si="2"/>
        <v>-316.57853499999999</v>
      </c>
      <c r="G16" s="250">
        <f t="shared" si="3"/>
        <v>-2532.6282800000004</v>
      </c>
      <c r="H16" s="338"/>
      <c r="I16" s="338"/>
      <c r="L16" s="23"/>
    </row>
    <row r="17" spans="1:12" ht="14.25" customHeight="1">
      <c r="A17" s="190" t="s">
        <v>45</v>
      </c>
      <c r="B17" s="275">
        <v>0</v>
      </c>
      <c r="C17" s="275">
        <v>0</v>
      </c>
      <c r="D17" s="279">
        <f t="shared" si="0"/>
        <v>0</v>
      </c>
      <c r="E17" s="362">
        <f t="shared" si="1"/>
        <v>316.57853499999999</v>
      </c>
      <c r="F17" s="268">
        <f t="shared" si="2"/>
        <v>-316.57853499999999</v>
      </c>
      <c r="G17" s="250">
        <f t="shared" si="3"/>
        <v>-2849.2068150000005</v>
      </c>
      <c r="H17" s="338"/>
      <c r="I17" s="338"/>
      <c r="L17" s="23"/>
    </row>
    <row r="18" spans="1:12" ht="14.25" customHeight="1">
      <c r="A18" s="190" t="s">
        <v>46</v>
      </c>
      <c r="B18" s="275">
        <v>0</v>
      </c>
      <c r="C18" s="275">
        <v>0</v>
      </c>
      <c r="D18" s="279">
        <f t="shared" si="0"/>
        <v>0</v>
      </c>
      <c r="E18" s="362">
        <f t="shared" si="1"/>
        <v>316.57853499999999</v>
      </c>
      <c r="F18" s="268">
        <f t="shared" si="2"/>
        <v>-316.57853499999999</v>
      </c>
      <c r="G18" s="250">
        <f t="shared" si="3"/>
        <v>-3165.7853500000006</v>
      </c>
      <c r="H18" s="338"/>
      <c r="I18" s="338"/>
      <c r="L18" s="23"/>
    </row>
    <row r="19" spans="1:12" ht="14.25" customHeight="1">
      <c r="A19" s="190" t="s">
        <v>47</v>
      </c>
      <c r="B19" s="194">
        <v>2</v>
      </c>
      <c r="C19" s="275">
        <v>0</v>
      </c>
      <c r="D19" s="279">
        <f t="shared" si="0"/>
        <v>0</v>
      </c>
      <c r="E19" s="362">
        <f t="shared" si="1"/>
        <v>316.57853499999999</v>
      </c>
      <c r="F19" s="268">
        <f t="shared" si="2"/>
        <v>-316.57853499999999</v>
      </c>
      <c r="G19" s="250">
        <f t="shared" si="3"/>
        <v>-3482.3638850000007</v>
      </c>
      <c r="H19" s="338"/>
      <c r="I19" s="338"/>
      <c r="L19" s="23"/>
    </row>
    <row r="20" spans="1:12" ht="14.25" customHeight="1">
      <c r="A20" s="190" t="s">
        <v>48</v>
      </c>
      <c r="B20" s="275">
        <v>0</v>
      </c>
      <c r="C20" s="275">
        <v>0</v>
      </c>
      <c r="D20" s="279">
        <f t="shared" si="0"/>
        <v>0</v>
      </c>
      <c r="E20" s="362">
        <f t="shared" si="1"/>
        <v>316.57853499999999</v>
      </c>
      <c r="F20" s="268">
        <f t="shared" si="2"/>
        <v>-316.57853499999999</v>
      </c>
      <c r="G20" s="250">
        <f t="shared" si="3"/>
        <v>-3798.9424200000008</v>
      </c>
      <c r="H20" s="338"/>
      <c r="I20" s="338"/>
      <c r="L20" s="23"/>
    </row>
    <row r="21" spans="1:12" ht="14.25" customHeight="1">
      <c r="A21" s="12">
        <v>2025</v>
      </c>
      <c r="B21" s="202">
        <f>SUM(B9:B20)</f>
        <v>2</v>
      </c>
      <c r="C21" s="202">
        <f t="shared" ref="C21:G21" si="4">SUM(C9:C20)</f>
        <v>0</v>
      </c>
      <c r="D21" s="202">
        <f t="shared" si="4"/>
        <v>0</v>
      </c>
      <c r="E21" s="202">
        <f t="shared" si="4"/>
        <v>3798.9424200000008</v>
      </c>
      <c r="F21" s="202">
        <f t="shared" si="4"/>
        <v>-3798.9424200000008</v>
      </c>
      <c r="G21" s="202">
        <f t="shared" si="4"/>
        <v>-24693.125730000007</v>
      </c>
      <c r="H21" s="338"/>
      <c r="I21" s="338"/>
      <c r="L21" s="23"/>
    </row>
    <row r="22" spans="1:12" ht="14.25" customHeight="1">
      <c r="A22" s="12">
        <f t="shared" ref="A22:A25" si="5">A21-1</f>
        <v>2024</v>
      </c>
      <c r="B22" s="37">
        <v>41</v>
      </c>
      <c r="C22" s="38">
        <v>377.9</v>
      </c>
      <c r="D22" s="25">
        <v>357.72014000000001</v>
      </c>
      <c r="E22" s="25">
        <v>6124.8866639999987</v>
      </c>
      <c r="F22" s="39">
        <v>-5767.1665240000002</v>
      </c>
      <c r="G22" s="42">
        <v>-5767.1665240000002</v>
      </c>
      <c r="H22" s="338"/>
      <c r="I22" s="338"/>
    </row>
    <row r="23" spans="1:12" ht="14.25" customHeight="1">
      <c r="A23" s="12">
        <f t="shared" si="5"/>
        <v>2023</v>
      </c>
      <c r="B23" s="39">
        <v>32.32</v>
      </c>
      <c r="C23" s="25">
        <v>458.28000000000003</v>
      </c>
      <c r="D23" s="25">
        <v>433.80784799999998</v>
      </c>
      <c r="E23" s="25">
        <v>4473.9149016000001</v>
      </c>
      <c r="F23" s="39">
        <v>-4040.1070535999997</v>
      </c>
      <c r="G23" s="51">
        <v>-4040.1070535999997</v>
      </c>
      <c r="H23" s="338"/>
      <c r="I23" s="338"/>
    </row>
    <row r="24" spans="1:12" ht="14.25" customHeight="1">
      <c r="A24" s="12">
        <f t="shared" si="5"/>
        <v>2022</v>
      </c>
      <c r="B24" s="40">
        <v>31.5</v>
      </c>
      <c r="C24" s="13">
        <v>80.787999999999997</v>
      </c>
      <c r="D24" s="13">
        <v>76.473920800000016</v>
      </c>
      <c r="E24" s="13">
        <v>2423.1060000000002</v>
      </c>
      <c r="F24" s="40">
        <v>-2346.6320791999997</v>
      </c>
      <c r="G24" s="40">
        <v>-2346.6320791999997</v>
      </c>
      <c r="H24" s="338"/>
      <c r="I24" s="338"/>
    </row>
    <row r="25" spans="1:12" ht="14.25" customHeight="1">
      <c r="A25" s="12">
        <f t="shared" si="5"/>
        <v>2021</v>
      </c>
      <c r="B25" s="40">
        <v>5</v>
      </c>
      <c r="C25" s="44">
        <v>80.8</v>
      </c>
      <c r="D25" s="13">
        <v>76.485280000000003</v>
      </c>
      <c r="E25" s="32">
        <v>200.42849888999993</v>
      </c>
      <c r="F25" s="40">
        <v>-123.94321888999993</v>
      </c>
      <c r="G25" s="40">
        <v>-1677.2065866799994</v>
      </c>
      <c r="H25" s="338"/>
      <c r="I25" s="338"/>
    </row>
    <row r="26" spans="1:12" ht="14.25" customHeight="1">
      <c r="A26" s="33"/>
      <c r="B26" s="40"/>
      <c r="C26" s="13"/>
      <c r="D26" s="13"/>
      <c r="E26" s="32"/>
      <c r="F26" s="40"/>
      <c r="G26" s="40"/>
      <c r="H26" s="338"/>
      <c r="I26" s="338"/>
    </row>
    <row r="27" spans="1:12" ht="14.25" customHeight="1">
      <c r="A27" s="15"/>
      <c r="B27" s="15"/>
      <c r="C27" s="15"/>
      <c r="D27" s="15"/>
      <c r="E27" s="15"/>
      <c r="F27" s="15"/>
    </row>
    <row r="28" spans="1:12" ht="14.25" customHeight="1">
      <c r="A28" s="410" t="s">
        <v>27</v>
      </c>
      <c r="B28" s="411"/>
      <c r="C28" s="411"/>
      <c r="D28" s="411"/>
      <c r="E28" s="411"/>
      <c r="F28" s="411"/>
      <c r="G28" s="411"/>
      <c r="H28" s="411"/>
    </row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28:H28"/>
    <mergeCell ref="D6:D7"/>
    <mergeCell ref="E6:E7"/>
    <mergeCell ref="F6:F7"/>
    <mergeCell ref="G6:G7"/>
    <mergeCell ref="A1:H1"/>
    <mergeCell ref="A2:H2"/>
    <mergeCell ref="A3:H3"/>
    <mergeCell ref="A4:H4"/>
    <mergeCell ref="A6:A7"/>
    <mergeCell ref="B6:B7"/>
    <mergeCell ref="C6:C7"/>
  </mergeCells>
  <pageMargins left="0.7" right="0.7" top="0.75" bottom="0.75" header="0" footer="0"/>
  <pageSetup paperSize="9" scale="71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0"/>
  <sheetViews>
    <sheetView zoomScale="90" zoomScaleNormal="90" workbookViewId="0">
      <selection activeCell="C21" sqref="C21"/>
    </sheetView>
  </sheetViews>
  <sheetFormatPr defaultColWidth="14.42578125" defaultRowHeight="15" customHeight="1"/>
  <cols>
    <col min="1" max="1" width="23.85546875" customWidth="1"/>
    <col min="2" max="2" width="14.5703125" customWidth="1"/>
    <col min="3" max="3" width="16.28515625" customWidth="1"/>
    <col min="4" max="4" width="14.7109375" customWidth="1"/>
    <col min="5" max="5" width="14.85546875" customWidth="1"/>
    <col min="6" max="6" width="15.85546875" customWidth="1"/>
    <col min="7" max="7" width="20.7109375" customWidth="1"/>
    <col min="8" max="8" width="8.85546875" bestFit="1" customWidth="1"/>
    <col min="9" max="26" width="8.7109375" customWidth="1"/>
  </cols>
  <sheetData>
    <row r="1" spans="1:9" ht="14.25" customHeight="1">
      <c r="A1" s="412" t="s">
        <v>0</v>
      </c>
      <c r="B1" s="411"/>
      <c r="C1" s="411"/>
      <c r="D1" s="411"/>
      <c r="E1" s="411"/>
      <c r="F1" s="411"/>
      <c r="G1" s="411"/>
      <c r="H1" s="411"/>
    </row>
    <row r="2" spans="1:9" ht="14.25" customHeight="1">
      <c r="A2" s="412" t="s">
        <v>28</v>
      </c>
      <c r="B2" s="411"/>
      <c r="C2" s="411"/>
      <c r="D2" s="411"/>
      <c r="E2" s="411"/>
      <c r="F2" s="411"/>
      <c r="G2" s="411"/>
      <c r="H2" s="411"/>
    </row>
    <row r="3" spans="1:9" ht="14.25" customHeight="1">
      <c r="A3" s="412" t="s">
        <v>58</v>
      </c>
      <c r="B3" s="411"/>
      <c r="C3" s="411"/>
      <c r="D3" s="411"/>
      <c r="E3" s="411"/>
      <c r="F3" s="411"/>
      <c r="G3" s="411"/>
      <c r="H3" s="411"/>
    </row>
    <row r="4" spans="1:9" ht="14.25" customHeight="1">
      <c r="A4" s="412" t="s">
        <v>30</v>
      </c>
      <c r="B4" s="411"/>
      <c r="C4" s="411"/>
      <c r="D4" s="411"/>
      <c r="E4" s="411"/>
      <c r="F4" s="411"/>
      <c r="G4" s="411"/>
      <c r="H4" s="411"/>
    </row>
    <row r="5" spans="1:9" ht="14.25" customHeight="1">
      <c r="A5" s="16"/>
      <c r="B5" s="16"/>
      <c r="C5" s="16"/>
      <c r="D5" s="16"/>
      <c r="E5" s="16"/>
      <c r="F5" s="16"/>
      <c r="G5" s="16"/>
      <c r="H5" s="17"/>
    </row>
    <row r="6" spans="1:9" ht="14.25" customHeight="1">
      <c r="A6" s="415" t="s">
        <v>31</v>
      </c>
      <c r="B6" s="415" t="s">
        <v>32</v>
      </c>
      <c r="C6" s="415" t="s">
        <v>4</v>
      </c>
      <c r="D6" s="415" t="s">
        <v>5</v>
      </c>
      <c r="E6" s="415" t="s">
        <v>6</v>
      </c>
      <c r="F6" s="415" t="s">
        <v>33</v>
      </c>
      <c r="G6" s="415" t="s">
        <v>34</v>
      </c>
      <c r="H6" s="18"/>
    </row>
    <row r="7" spans="1:9" ht="14.25" customHeight="1">
      <c r="A7" s="409"/>
      <c r="B7" s="409"/>
      <c r="C7" s="409"/>
      <c r="D7" s="409"/>
      <c r="E7" s="409"/>
      <c r="F7" s="409"/>
      <c r="G7" s="409"/>
    </row>
    <row r="8" spans="1:9" ht="14.25" customHeight="1">
      <c r="A8" s="19" t="s">
        <v>8</v>
      </c>
      <c r="B8" s="19" t="s">
        <v>9</v>
      </c>
      <c r="C8" s="19" t="s">
        <v>10</v>
      </c>
      <c r="D8" s="19" t="s">
        <v>11</v>
      </c>
      <c r="E8" s="19" t="s">
        <v>12</v>
      </c>
      <c r="F8" s="19" t="s">
        <v>35</v>
      </c>
      <c r="G8" s="19" t="s">
        <v>36</v>
      </c>
      <c r="H8" s="366">
        <v>8.833333333333333E-4</v>
      </c>
      <c r="I8" s="338"/>
    </row>
    <row r="9" spans="1:9" ht="14.25" customHeight="1">
      <c r="A9" s="8" t="s">
        <v>37</v>
      </c>
      <c r="B9" s="35"/>
      <c r="C9" s="35"/>
      <c r="D9" s="54"/>
      <c r="E9" s="362">
        <v>1331.4026506173</v>
      </c>
      <c r="F9" s="266">
        <f>D9-E9</f>
        <v>-1331.4026506173</v>
      </c>
      <c r="G9" s="250">
        <f>F9</f>
        <v>-1331.4026506173</v>
      </c>
      <c r="H9" s="338">
        <v>2087331</v>
      </c>
      <c r="I9" s="338" t="s">
        <v>256</v>
      </c>
    </row>
    <row r="10" spans="1:9" ht="14.25" customHeight="1">
      <c r="A10" s="8" t="s">
        <v>38</v>
      </c>
      <c r="B10" s="35"/>
      <c r="C10" s="35"/>
      <c r="D10" s="54"/>
      <c r="E10" s="362">
        <v>1232.83590599902</v>
      </c>
      <c r="F10" s="266">
        <f t="shared" ref="F10:F20" si="0">D10-E10</f>
        <v>-1232.83590599902</v>
      </c>
      <c r="G10" s="250">
        <f>G9+F10</f>
        <v>-2564.2385566163202</v>
      </c>
      <c r="H10" s="338"/>
      <c r="I10" s="338"/>
    </row>
    <row r="11" spans="1:9" ht="14.25" customHeight="1">
      <c r="A11" s="8" t="s">
        <v>39</v>
      </c>
      <c r="B11" s="35">
        <v>5</v>
      </c>
      <c r="C11" s="35">
        <v>1400</v>
      </c>
      <c r="D11" s="35">
        <v>1400</v>
      </c>
      <c r="E11" s="362">
        <v>1397.9727831481655</v>
      </c>
      <c r="F11" s="266">
        <f t="shared" si="0"/>
        <v>2.0272168518345097</v>
      </c>
      <c r="G11" s="250">
        <f t="shared" ref="G11:G20" si="1">G10+F11</f>
        <v>-2562.2113397644857</v>
      </c>
      <c r="H11" s="338"/>
      <c r="I11" s="338"/>
    </row>
    <row r="12" spans="1:9" ht="14.25" customHeight="1">
      <c r="A12" s="8" t="s">
        <v>40</v>
      </c>
      <c r="B12" s="35"/>
      <c r="C12" s="35"/>
      <c r="D12" s="35"/>
      <c r="E12" s="362">
        <v>1288.4541780167428</v>
      </c>
      <c r="F12" s="266">
        <f t="shared" si="0"/>
        <v>-1288.4541780167428</v>
      </c>
      <c r="G12" s="250">
        <f t="shared" si="1"/>
        <v>-3850.6655177812286</v>
      </c>
      <c r="H12" s="338"/>
      <c r="I12" s="338"/>
    </row>
    <row r="13" spans="1:9" ht="14.25" customHeight="1">
      <c r="A13" s="8" t="s">
        <v>41</v>
      </c>
      <c r="B13" s="35"/>
      <c r="C13" s="35"/>
      <c r="D13" s="35"/>
      <c r="E13" s="362">
        <v>1331.4026506173009</v>
      </c>
      <c r="F13" s="266">
        <f t="shared" si="0"/>
        <v>-1331.4026506173009</v>
      </c>
      <c r="G13" s="250">
        <f t="shared" si="1"/>
        <v>-5182.0681683985295</v>
      </c>
      <c r="H13" s="338"/>
      <c r="I13" s="338"/>
    </row>
    <row r="14" spans="1:9" ht="14.25" customHeight="1">
      <c r="A14" s="8" t="s">
        <v>42</v>
      </c>
      <c r="B14" s="55">
        <v>33</v>
      </c>
      <c r="C14" s="55">
        <v>13300</v>
      </c>
      <c r="D14" s="55">
        <v>13300</v>
      </c>
      <c r="E14" s="362">
        <v>1289.7426321947594</v>
      </c>
      <c r="F14" s="266">
        <f t="shared" si="0"/>
        <v>12010.257367805241</v>
      </c>
      <c r="G14" s="250">
        <f t="shared" si="1"/>
        <v>6828.1891994067119</v>
      </c>
      <c r="H14" s="338"/>
      <c r="I14" s="338"/>
    </row>
    <row r="15" spans="1:9" ht="14.25" customHeight="1">
      <c r="A15" s="8" t="s">
        <v>43</v>
      </c>
      <c r="B15" s="55"/>
      <c r="C15" s="55"/>
      <c r="D15" s="55"/>
      <c r="E15" s="362">
        <v>1331.4026506173009</v>
      </c>
      <c r="F15" s="266">
        <f t="shared" si="0"/>
        <v>-1331.4026506173009</v>
      </c>
      <c r="G15" s="250">
        <f t="shared" si="1"/>
        <v>5496.7865487894105</v>
      </c>
      <c r="H15" s="338"/>
      <c r="I15" s="338"/>
    </row>
    <row r="16" spans="1:9" ht="14.25" customHeight="1">
      <c r="A16" s="8" t="s">
        <v>44</v>
      </c>
      <c r="B16" s="55"/>
      <c r="C16" s="55"/>
      <c r="D16" s="55"/>
      <c r="E16" s="362">
        <v>1331.4026506173009</v>
      </c>
      <c r="F16" s="266">
        <f t="shared" si="0"/>
        <v>-1331.4026506173009</v>
      </c>
      <c r="G16" s="250">
        <f t="shared" si="1"/>
        <v>4165.3838981721092</v>
      </c>
      <c r="H16" s="338"/>
      <c r="I16" s="338"/>
    </row>
    <row r="17" spans="1:9" ht="14.25" customHeight="1">
      <c r="A17" s="8" t="s">
        <v>45</v>
      </c>
      <c r="B17" s="35">
        <v>267</v>
      </c>
      <c r="C17" s="35">
        <v>19350</v>
      </c>
      <c r="D17" s="35">
        <v>19350</v>
      </c>
      <c r="E17" s="362">
        <v>1288.4541780167428</v>
      </c>
      <c r="F17" s="266">
        <f t="shared" si="0"/>
        <v>18061.545821983258</v>
      </c>
      <c r="G17" s="250">
        <f t="shared" si="1"/>
        <v>22226.929720155367</v>
      </c>
      <c r="H17" s="338"/>
      <c r="I17" s="338"/>
    </row>
    <row r="18" spans="1:9" ht="14.25" customHeight="1">
      <c r="A18" s="8" t="s">
        <v>46</v>
      </c>
      <c r="B18" s="35"/>
      <c r="C18" s="35"/>
      <c r="D18" s="35"/>
      <c r="E18" s="362">
        <v>1331.4026506173009</v>
      </c>
      <c r="F18" s="266">
        <f t="shared" si="0"/>
        <v>-1331.4026506173009</v>
      </c>
      <c r="G18" s="250">
        <f t="shared" si="1"/>
        <v>20895.527069538068</v>
      </c>
      <c r="H18" s="338"/>
      <c r="I18" s="338"/>
    </row>
    <row r="19" spans="1:9" ht="14.25" customHeight="1">
      <c r="A19" s="8" t="s">
        <v>47</v>
      </c>
      <c r="B19" s="341"/>
      <c r="C19" s="341"/>
      <c r="D19" s="341"/>
      <c r="E19" s="362">
        <v>1288.4541780167428</v>
      </c>
      <c r="F19" s="342">
        <f t="shared" si="0"/>
        <v>-1288.4541780167428</v>
      </c>
      <c r="G19" s="343">
        <f t="shared" si="1"/>
        <v>19607.072891521326</v>
      </c>
      <c r="H19" s="338"/>
      <c r="I19" s="338"/>
    </row>
    <row r="20" spans="1:9" ht="14.25" customHeight="1">
      <c r="A20" s="190" t="s">
        <v>48</v>
      </c>
      <c r="B20" s="348">
        <v>436.26</v>
      </c>
      <c r="C20" s="348">
        <v>20289.266398361928</v>
      </c>
      <c r="D20" s="348">
        <v>20289.266398361928</v>
      </c>
      <c r="E20" s="362">
        <v>1333.1205895213232</v>
      </c>
      <c r="F20" s="266">
        <f t="shared" si="0"/>
        <v>18956.145808840603</v>
      </c>
      <c r="G20" s="250">
        <f t="shared" si="1"/>
        <v>38563.218700361933</v>
      </c>
      <c r="H20" s="338"/>
      <c r="I20" s="338"/>
    </row>
    <row r="21" spans="1:9" ht="14.25" customHeight="1">
      <c r="A21" s="255">
        <v>2025</v>
      </c>
      <c r="B21" s="349">
        <f>SUM(B9:B20)</f>
        <v>741.26</v>
      </c>
      <c r="C21" s="349">
        <f t="shared" ref="C21:G21" si="2">SUM(C9:C20)</f>
        <v>54339.266398361928</v>
      </c>
      <c r="D21" s="349">
        <f t="shared" si="2"/>
        <v>54339.266398361928</v>
      </c>
      <c r="E21" s="349">
        <f t="shared" si="2"/>
        <v>15776.047698</v>
      </c>
      <c r="F21" s="349">
        <f t="shared" si="2"/>
        <v>38563.218700361933</v>
      </c>
      <c r="G21" s="349">
        <f t="shared" si="2"/>
        <v>102292.52179476706</v>
      </c>
      <c r="H21" s="338"/>
      <c r="I21" s="338"/>
    </row>
    <row r="22" spans="1:9" ht="14.25" customHeight="1">
      <c r="A22" s="12">
        <f t="shared" ref="A22:A25" si="3">A21-1</f>
        <v>2024</v>
      </c>
      <c r="B22" s="344">
        <v>1129.94</v>
      </c>
      <c r="C22" s="345">
        <v>5694.7960000000003</v>
      </c>
      <c r="D22" s="346">
        <v>5694.7960000000003</v>
      </c>
      <c r="E22" s="192">
        <v>21904.115600000001</v>
      </c>
      <c r="F22" s="271">
        <v>-16209.319600000003</v>
      </c>
      <c r="G22" s="347">
        <v>-16209.319600000003</v>
      </c>
      <c r="H22" s="338"/>
      <c r="I22" s="338"/>
    </row>
    <row r="23" spans="1:9" ht="14.25" customHeight="1">
      <c r="A23" s="12">
        <f t="shared" si="3"/>
        <v>2023</v>
      </c>
      <c r="B23" s="25">
        <v>772</v>
      </c>
      <c r="C23" s="25">
        <v>3391</v>
      </c>
      <c r="D23" s="25">
        <v>3391</v>
      </c>
      <c r="E23" s="25">
        <v>21725.993199999997</v>
      </c>
      <c r="F23" s="39">
        <v>-18334.993199999997</v>
      </c>
      <c r="G23" s="42">
        <v>-18334.993199999997</v>
      </c>
      <c r="H23" s="338"/>
      <c r="I23" s="338"/>
    </row>
    <row r="24" spans="1:9" ht="14.25" customHeight="1">
      <c r="A24" s="12">
        <f t="shared" si="3"/>
        <v>2022</v>
      </c>
      <c r="B24" s="25">
        <v>529</v>
      </c>
      <c r="C24" s="25">
        <v>2629.6000000000004</v>
      </c>
      <c r="D24" s="25">
        <v>2613.7275279999999</v>
      </c>
      <c r="E24" s="25">
        <v>21245.410399999997</v>
      </c>
      <c r="F24" s="39">
        <v>-18631.682871999998</v>
      </c>
      <c r="G24" s="42">
        <v>-18631.682871999998</v>
      </c>
      <c r="H24" s="338"/>
      <c r="I24" s="338"/>
    </row>
    <row r="25" spans="1:9" ht="14.25" customHeight="1">
      <c r="A25" s="12">
        <f t="shared" si="3"/>
        <v>2021</v>
      </c>
      <c r="B25" s="25">
        <v>362</v>
      </c>
      <c r="C25" s="25">
        <v>2072.6999999999998</v>
      </c>
      <c r="D25" s="13">
        <v>2072.6999999999998</v>
      </c>
      <c r="E25" s="32">
        <v>21245.410399999997</v>
      </c>
      <c r="F25" s="40">
        <v>-19172.710399999996</v>
      </c>
      <c r="G25" s="40">
        <v>-19172.710399999996</v>
      </c>
      <c r="H25" s="338"/>
      <c r="I25" s="338"/>
    </row>
    <row r="26" spans="1:9" ht="14.25" customHeight="1">
      <c r="A26" s="33"/>
      <c r="B26" s="13"/>
      <c r="C26" s="13"/>
      <c r="D26" s="13"/>
      <c r="E26" s="32"/>
      <c r="F26" s="40"/>
      <c r="G26" s="40"/>
      <c r="H26" s="338"/>
      <c r="I26" s="338"/>
    </row>
    <row r="27" spans="1:9" ht="14.25" customHeight="1">
      <c r="A27" s="56"/>
      <c r="B27" s="57"/>
      <c r="C27" s="57"/>
      <c r="D27" s="57"/>
      <c r="E27" s="57"/>
      <c r="F27" s="57"/>
      <c r="G27" s="58"/>
    </row>
    <row r="28" spans="1:9" ht="14.25" customHeight="1">
      <c r="A28" s="16"/>
      <c r="B28" s="59"/>
      <c r="C28" s="59"/>
      <c r="D28" s="59"/>
      <c r="E28" s="59"/>
      <c r="F28" s="59"/>
      <c r="G28" s="60"/>
    </row>
    <row r="29" spans="1:9" ht="14.25" customHeight="1">
      <c r="A29" s="410"/>
      <c r="B29" s="411"/>
      <c r="C29" s="411"/>
      <c r="D29" s="411"/>
      <c r="E29" s="411"/>
      <c r="F29" s="411"/>
      <c r="G29" s="411"/>
      <c r="H29" s="411"/>
    </row>
    <row r="30" spans="1:9" ht="14.25" customHeight="1">
      <c r="A30" s="410" t="s">
        <v>27</v>
      </c>
      <c r="B30" s="411"/>
      <c r="C30" s="411"/>
      <c r="D30" s="411"/>
      <c r="E30" s="411"/>
      <c r="F30" s="411"/>
      <c r="G30" s="411"/>
      <c r="H30" s="411"/>
    </row>
    <row r="31" spans="1:9" ht="14.25" customHeight="1">
      <c r="A31" s="18"/>
      <c r="B31" s="18"/>
      <c r="C31" s="18"/>
      <c r="D31" s="18"/>
      <c r="E31" s="18"/>
      <c r="F31" s="18"/>
      <c r="G31" s="18"/>
      <c r="H31" s="18"/>
    </row>
    <row r="32" spans="1:9" ht="14.25" customHeight="1">
      <c r="A32" s="18"/>
      <c r="B32" s="18"/>
      <c r="C32" s="18"/>
      <c r="D32" s="18"/>
      <c r="E32" s="18"/>
      <c r="F32" s="18"/>
      <c r="G32" s="18"/>
      <c r="H32" s="18"/>
    </row>
    <row r="33" spans="1:8" ht="14.25" customHeight="1">
      <c r="A33" s="18"/>
      <c r="B33" s="18"/>
      <c r="C33" s="18"/>
      <c r="D33" s="18"/>
      <c r="E33" s="18"/>
      <c r="F33" s="18"/>
      <c r="G33" s="18"/>
      <c r="H33" s="18"/>
    </row>
    <row r="34" spans="1:8" ht="14.25" customHeight="1">
      <c r="A34" s="18"/>
      <c r="B34" s="18"/>
      <c r="C34" s="18"/>
      <c r="D34" s="18"/>
      <c r="E34" s="18"/>
      <c r="F34" s="18"/>
      <c r="G34" s="18"/>
      <c r="H34" s="18"/>
    </row>
    <row r="35" spans="1:8" ht="14.25" customHeight="1">
      <c r="A35" s="18"/>
      <c r="B35" s="18"/>
      <c r="C35" s="18"/>
      <c r="D35" s="18"/>
      <c r="E35" s="18"/>
      <c r="F35" s="18"/>
      <c r="G35" s="18"/>
      <c r="H35" s="18"/>
    </row>
    <row r="36" spans="1:8" ht="14.25" customHeight="1">
      <c r="A36" s="18"/>
      <c r="B36" s="18"/>
      <c r="C36" s="18"/>
      <c r="D36" s="18"/>
      <c r="E36" s="18"/>
      <c r="F36" s="18"/>
      <c r="G36" s="18"/>
      <c r="H36" s="18"/>
    </row>
    <row r="37" spans="1:8" ht="14.25" customHeight="1">
      <c r="A37" s="18"/>
      <c r="B37" s="18"/>
      <c r="C37" s="18"/>
      <c r="D37" s="18"/>
      <c r="E37" s="18"/>
      <c r="F37" s="18"/>
      <c r="G37" s="18"/>
      <c r="H37" s="18"/>
    </row>
    <row r="38" spans="1:8" ht="14.25" customHeight="1">
      <c r="A38" s="18"/>
      <c r="B38" s="18"/>
      <c r="C38" s="18"/>
      <c r="D38" s="18"/>
      <c r="E38" s="18"/>
      <c r="F38" s="18"/>
      <c r="G38" s="18"/>
      <c r="H38" s="18"/>
    </row>
    <row r="39" spans="1:8" ht="14.25" customHeight="1">
      <c r="A39" s="18"/>
      <c r="B39" s="18"/>
      <c r="C39" s="18"/>
      <c r="D39" s="18"/>
      <c r="E39" s="18"/>
      <c r="F39" s="18"/>
      <c r="G39" s="18"/>
      <c r="H39" s="18"/>
    </row>
    <row r="40" spans="1:8" ht="14.25" customHeight="1">
      <c r="A40" s="18"/>
      <c r="B40" s="18"/>
      <c r="C40" s="18"/>
      <c r="D40" s="18"/>
      <c r="E40" s="18"/>
      <c r="F40" s="18"/>
      <c r="G40" s="18"/>
      <c r="H40" s="18"/>
    </row>
    <row r="41" spans="1:8" ht="14.25" customHeight="1">
      <c r="A41" s="18"/>
      <c r="B41" s="18"/>
      <c r="C41" s="18"/>
      <c r="D41" s="18"/>
      <c r="E41" s="18"/>
      <c r="F41" s="18"/>
      <c r="G41" s="18"/>
      <c r="H41" s="18"/>
    </row>
    <row r="42" spans="1:8" ht="14.25" customHeight="1">
      <c r="A42" s="18"/>
      <c r="B42" s="18"/>
      <c r="C42" s="18"/>
      <c r="D42" s="18"/>
      <c r="E42" s="18"/>
      <c r="F42" s="18"/>
      <c r="G42" s="18"/>
      <c r="H42" s="18"/>
    </row>
    <row r="43" spans="1:8" ht="14.25" customHeight="1">
      <c r="A43" s="18"/>
      <c r="B43" s="18"/>
      <c r="C43" s="18"/>
      <c r="D43" s="18"/>
      <c r="E43" s="18"/>
      <c r="F43" s="18"/>
      <c r="G43" s="18"/>
      <c r="H43" s="18"/>
    </row>
    <row r="44" spans="1:8" ht="14.25" customHeight="1">
      <c r="A44" s="18"/>
      <c r="B44" s="18"/>
      <c r="C44" s="18"/>
      <c r="D44" s="18"/>
      <c r="E44" s="18"/>
      <c r="F44" s="18"/>
      <c r="G44" s="18"/>
      <c r="H44" s="18"/>
    </row>
    <row r="45" spans="1:8" ht="14.25" customHeight="1">
      <c r="A45" s="18"/>
      <c r="B45" s="18"/>
      <c r="C45" s="18"/>
      <c r="D45" s="18"/>
      <c r="E45" s="18"/>
      <c r="F45" s="18"/>
      <c r="G45" s="18"/>
      <c r="H45" s="18"/>
    </row>
    <row r="46" spans="1:8" ht="14.25" customHeight="1">
      <c r="A46" s="18"/>
      <c r="B46" s="18"/>
      <c r="C46" s="18"/>
      <c r="D46" s="18"/>
      <c r="E46" s="18"/>
      <c r="F46" s="18"/>
      <c r="G46" s="18"/>
      <c r="H46" s="18"/>
    </row>
    <row r="47" spans="1:8" ht="14.25" customHeight="1">
      <c r="A47" s="18"/>
      <c r="B47" s="18"/>
      <c r="C47" s="18"/>
      <c r="D47" s="18"/>
      <c r="E47" s="18"/>
      <c r="F47" s="18"/>
      <c r="G47" s="18"/>
      <c r="H47" s="18"/>
    </row>
    <row r="48" spans="1:8" ht="14.25" customHeight="1">
      <c r="A48" s="18"/>
      <c r="B48" s="18"/>
      <c r="C48" s="18"/>
      <c r="D48" s="18"/>
      <c r="E48" s="18"/>
      <c r="F48" s="18"/>
      <c r="G48" s="18"/>
      <c r="H48" s="18"/>
    </row>
    <row r="49" spans="1:8" ht="14.25" customHeight="1">
      <c r="A49" s="18"/>
      <c r="B49" s="18"/>
      <c r="C49" s="18"/>
      <c r="D49" s="18"/>
      <c r="E49" s="18"/>
      <c r="F49" s="18"/>
      <c r="G49" s="18"/>
      <c r="H49" s="18"/>
    </row>
    <row r="50" spans="1:8" ht="14.25" customHeight="1">
      <c r="A50" s="18"/>
      <c r="B50" s="18"/>
      <c r="C50" s="18"/>
      <c r="D50" s="18"/>
      <c r="E50" s="18"/>
      <c r="F50" s="18"/>
      <c r="G50" s="18"/>
      <c r="H50" s="18"/>
    </row>
    <row r="51" spans="1:8" ht="14.25" customHeight="1">
      <c r="A51" s="18"/>
      <c r="B51" s="18"/>
      <c r="C51" s="18"/>
      <c r="D51" s="18"/>
      <c r="E51" s="18"/>
      <c r="F51" s="18"/>
      <c r="G51" s="18"/>
      <c r="H51" s="18"/>
    </row>
    <row r="52" spans="1:8" ht="14.25" customHeight="1">
      <c r="A52" s="18"/>
      <c r="B52" s="18"/>
      <c r="C52" s="18"/>
      <c r="D52" s="18"/>
      <c r="E52" s="18"/>
      <c r="F52" s="18"/>
      <c r="G52" s="18"/>
      <c r="H52" s="18"/>
    </row>
    <row r="53" spans="1:8" ht="14.25" customHeight="1">
      <c r="A53" s="18"/>
      <c r="B53" s="18"/>
      <c r="C53" s="18"/>
      <c r="D53" s="18"/>
      <c r="E53" s="18"/>
      <c r="F53" s="18"/>
      <c r="G53" s="18"/>
      <c r="H53" s="18"/>
    </row>
    <row r="54" spans="1:8" ht="14.25" customHeight="1">
      <c r="A54" s="18"/>
      <c r="B54" s="18"/>
      <c r="C54" s="18"/>
      <c r="D54" s="18"/>
      <c r="E54" s="18"/>
      <c r="F54" s="18"/>
      <c r="G54" s="18"/>
      <c r="H54" s="18"/>
    </row>
    <row r="55" spans="1:8" ht="14.25" customHeight="1">
      <c r="A55" s="18"/>
      <c r="B55" s="18"/>
      <c r="C55" s="18"/>
      <c r="D55" s="18"/>
      <c r="E55" s="18"/>
      <c r="F55" s="18"/>
      <c r="G55" s="18"/>
      <c r="H55" s="18"/>
    </row>
    <row r="56" spans="1:8" ht="14.25" customHeight="1">
      <c r="A56" s="18"/>
      <c r="B56" s="18"/>
      <c r="C56" s="18"/>
      <c r="D56" s="18"/>
      <c r="E56" s="18"/>
      <c r="F56" s="18"/>
      <c r="G56" s="18"/>
      <c r="H56" s="18"/>
    </row>
    <row r="57" spans="1:8" ht="14.25" customHeight="1">
      <c r="A57" s="18"/>
      <c r="B57" s="18"/>
      <c r="C57" s="18"/>
      <c r="D57" s="18"/>
      <c r="E57" s="18"/>
      <c r="F57" s="18"/>
      <c r="G57" s="18"/>
      <c r="H57" s="18"/>
    </row>
    <row r="58" spans="1:8" ht="14.25" customHeight="1">
      <c r="A58" s="18"/>
      <c r="B58" s="18"/>
      <c r="C58" s="18"/>
      <c r="D58" s="18"/>
      <c r="E58" s="18"/>
      <c r="F58" s="18"/>
      <c r="G58" s="18"/>
      <c r="H58" s="18"/>
    </row>
    <row r="59" spans="1:8" ht="14.25" customHeight="1">
      <c r="A59" s="18"/>
      <c r="B59" s="18"/>
      <c r="C59" s="18"/>
      <c r="D59" s="18"/>
      <c r="E59" s="18"/>
      <c r="F59" s="18"/>
      <c r="G59" s="18"/>
      <c r="H59" s="18"/>
    </row>
    <row r="60" spans="1:8" ht="14.25" customHeight="1">
      <c r="A60" s="18"/>
      <c r="B60" s="18"/>
      <c r="C60" s="18"/>
      <c r="D60" s="18"/>
      <c r="E60" s="18"/>
      <c r="F60" s="18"/>
      <c r="G60" s="18"/>
      <c r="H60" s="18"/>
    </row>
    <row r="61" spans="1:8" ht="14.25" customHeight="1">
      <c r="A61" s="18"/>
      <c r="B61" s="18"/>
      <c r="C61" s="18"/>
      <c r="D61" s="18"/>
      <c r="E61" s="18"/>
      <c r="F61" s="18"/>
      <c r="G61" s="18"/>
      <c r="H61" s="18"/>
    </row>
    <row r="62" spans="1:8" ht="14.25" customHeight="1">
      <c r="A62" s="18"/>
      <c r="B62" s="18"/>
      <c r="C62" s="18"/>
      <c r="D62" s="18"/>
      <c r="E62" s="18"/>
      <c r="F62" s="18"/>
      <c r="G62" s="18"/>
      <c r="H62" s="18"/>
    </row>
    <row r="63" spans="1:8" ht="14.25" customHeight="1">
      <c r="A63" s="18"/>
      <c r="B63" s="18"/>
      <c r="C63" s="18"/>
      <c r="D63" s="18"/>
      <c r="E63" s="18"/>
      <c r="F63" s="18"/>
      <c r="G63" s="18"/>
      <c r="H63" s="18"/>
    </row>
    <row r="64" spans="1:8" ht="14.25" customHeight="1">
      <c r="A64" s="18"/>
      <c r="B64" s="18"/>
      <c r="C64" s="18"/>
      <c r="D64" s="18"/>
      <c r="E64" s="18"/>
      <c r="F64" s="18"/>
      <c r="G64" s="18"/>
      <c r="H64" s="18"/>
    </row>
    <row r="65" spans="1:8" ht="14.25" customHeight="1">
      <c r="A65" s="18"/>
      <c r="B65" s="18"/>
      <c r="C65" s="18"/>
      <c r="D65" s="18"/>
      <c r="E65" s="18"/>
      <c r="F65" s="18"/>
      <c r="G65" s="18"/>
      <c r="H65" s="18"/>
    </row>
    <row r="66" spans="1:8" ht="14.25" customHeight="1">
      <c r="A66" s="18"/>
      <c r="B66" s="18"/>
      <c r="C66" s="18"/>
      <c r="D66" s="18"/>
      <c r="E66" s="18"/>
      <c r="F66" s="18"/>
      <c r="G66" s="18"/>
      <c r="H66" s="18"/>
    </row>
    <row r="67" spans="1:8" ht="14.25" customHeight="1">
      <c r="A67" s="18"/>
      <c r="B67" s="18"/>
      <c r="C67" s="18"/>
      <c r="D67" s="18"/>
      <c r="E67" s="18"/>
      <c r="F67" s="18"/>
      <c r="G67" s="18"/>
      <c r="H67" s="18"/>
    </row>
    <row r="68" spans="1:8" ht="14.25" customHeight="1">
      <c r="A68" s="18"/>
      <c r="B68" s="18"/>
      <c r="C68" s="18"/>
      <c r="D68" s="18"/>
      <c r="E68" s="18"/>
      <c r="F68" s="18"/>
      <c r="G68" s="18"/>
      <c r="H68" s="18"/>
    </row>
    <row r="69" spans="1:8" ht="14.25" customHeight="1">
      <c r="A69" s="18"/>
      <c r="B69" s="18"/>
      <c r="C69" s="18"/>
      <c r="D69" s="18"/>
      <c r="E69" s="18"/>
      <c r="F69" s="18"/>
      <c r="G69" s="18"/>
      <c r="H69" s="18"/>
    </row>
    <row r="70" spans="1:8" ht="14.25" customHeight="1">
      <c r="A70" s="18"/>
      <c r="B70" s="18"/>
      <c r="C70" s="18"/>
      <c r="D70" s="18"/>
      <c r="E70" s="18"/>
      <c r="F70" s="18"/>
      <c r="G70" s="18"/>
      <c r="H70" s="18"/>
    </row>
    <row r="71" spans="1:8" ht="14.25" customHeight="1">
      <c r="A71" s="18"/>
      <c r="B71" s="18"/>
      <c r="C71" s="18"/>
      <c r="D71" s="18"/>
      <c r="E71" s="18"/>
      <c r="F71" s="18"/>
      <c r="G71" s="18"/>
      <c r="H71" s="18"/>
    </row>
    <row r="72" spans="1:8" ht="14.25" customHeight="1">
      <c r="A72" s="18"/>
      <c r="B72" s="18"/>
      <c r="C72" s="18"/>
      <c r="D72" s="18"/>
      <c r="E72" s="18"/>
      <c r="F72" s="18"/>
      <c r="G72" s="18"/>
      <c r="H72" s="18"/>
    </row>
    <row r="73" spans="1:8" ht="14.25" customHeight="1">
      <c r="A73" s="18"/>
      <c r="B73" s="18"/>
      <c r="C73" s="18"/>
      <c r="D73" s="18"/>
      <c r="E73" s="18"/>
      <c r="F73" s="18"/>
      <c r="G73" s="18"/>
      <c r="H73" s="18"/>
    </row>
    <row r="74" spans="1:8" ht="14.25" customHeight="1">
      <c r="A74" s="18"/>
      <c r="B74" s="18"/>
      <c r="C74" s="18"/>
      <c r="D74" s="18"/>
      <c r="E74" s="18"/>
      <c r="F74" s="18"/>
      <c r="G74" s="18"/>
      <c r="H74" s="18"/>
    </row>
    <row r="75" spans="1:8" ht="14.25" customHeight="1">
      <c r="A75" s="18"/>
      <c r="B75" s="18"/>
      <c r="C75" s="18"/>
      <c r="D75" s="18"/>
      <c r="E75" s="18"/>
      <c r="F75" s="18"/>
      <c r="G75" s="18"/>
      <c r="H75" s="18"/>
    </row>
    <row r="76" spans="1:8" ht="14.25" customHeight="1">
      <c r="A76" s="18"/>
      <c r="B76" s="18"/>
      <c r="C76" s="18"/>
      <c r="D76" s="18"/>
      <c r="E76" s="18"/>
      <c r="F76" s="18"/>
      <c r="G76" s="18"/>
      <c r="H76" s="18"/>
    </row>
    <row r="77" spans="1:8" ht="14.25" customHeight="1">
      <c r="A77" s="18"/>
      <c r="B77" s="18"/>
      <c r="C77" s="18"/>
      <c r="D77" s="18"/>
      <c r="E77" s="18"/>
      <c r="F77" s="18"/>
      <c r="G77" s="18"/>
      <c r="H77" s="18"/>
    </row>
    <row r="78" spans="1:8" ht="14.25" customHeight="1">
      <c r="A78" s="18"/>
      <c r="B78" s="18"/>
      <c r="C78" s="18"/>
      <c r="D78" s="18"/>
      <c r="E78" s="18"/>
      <c r="F78" s="18"/>
      <c r="G78" s="18"/>
      <c r="H78" s="18"/>
    </row>
    <row r="79" spans="1:8" ht="14.25" customHeight="1">
      <c r="A79" s="18"/>
      <c r="B79" s="18"/>
      <c r="C79" s="18"/>
      <c r="D79" s="18"/>
      <c r="E79" s="18"/>
      <c r="F79" s="18"/>
      <c r="G79" s="18"/>
      <c r="H79" s="18"/>
    </row>
    <row r="80" spans="1:8" ht="14.25" customHeight="1">
      <c r="A80" s="18"/>
      <c r="B80" s="18"/>
      <c r="C80" s="18"/>
      <c r="D80" s="18"/>
      <c r="E80" s="18"/>
      <c r="F80" s="18"/>
      <c r="G80" s="18"/>
      <c r="H80" s="18"/>
    </row>
    <row r="81" spans="1:8" ht="14.25" customHeight="1">
      <c r="A81" s="18"/>
      <c r="B81" s="18"/>
      <c r="C81" s="18"/>
      <c r="D81" s="18"/>
      <c r="E81" s="18"/>
      <c r="F81" s="18"/>
      <c r="G81" s="18"/>
      <c r="H81" s="18"/>
    </row>
    <row r="82" spans="1:8" ht="14.25" customHeight="1">
      <c r="A82" s="18"/>
      <c r="B82" s="18"/>
      <c r="C82" s="18"/>
      <c r="D82" s="18"/>
      <c r="E82" s="18"/>
      <c r="F82" s="18"/>
      <c r="G82" s="18"/>
      <c r="H82" s="18"/>
    </row>
    <row r="83" spans="1:8" ht="14.25" customHeight="1">
      <c r="A83" s="18"/>
      <c r="B83" s="18"/>
      <c r="C83" s="18"/>
      <c r="D83" s="18"/>
      <c r="E83" s="18"/>
      <c r="F83" s="18"/>
      <c r="G83" s="18"/>
      <c r="H83" s="18"/>
    </row>
    <row r="84" spans="1:8" ht="14.25" customHeight="1">
      <c r="A84" s="18"/>
      <c r="B84" s="18"/>
      <c r="C84" s="18"/>
      <c r="D84" s="18"/>
      <c r="E84" s="18"/>
      <c r="F84" s="18"/>
      <c r="G84" s="18"/>
      <c r="H84" s="18"/>
    </row>
    <row r="85" spans="1:8" ht="14.25" customHeight="1">
      <c r="A85" s="18"/>
      <c r="B85" s="18"/>
      <c r="C85" s="18"/>
      <c r="D85" s="18"/>
      <c r="E85" s="18"/>
      <c r="F85" s="18"/>
      <c r="G85" s="18"/>
      <c r="H85" s="18"/>
    </row>
    <row r="86" spans="1:8" ht="14.25" customHeight="1">
      <c r="A86" s="18"/>
      <c r="B86" s="18"/>
      <c r="C86" s="18"/>
      <c r="D86" s="18"/>
      <c r="E86" s="18"/>
      <c r="F86" s="18"/>
      <c r="G86" s="18"/>
      <c r="H86" s="18"/>
    </row>
    <row r="87" spans="1:8" ht="14.25" customHeight="1">
      <c r="A87" s="18"/>
      <c r="B87" s="18"/>
      <c r="C87" s="18"/>
      <c r="D87" s="18"/>
      <c r="E87" s="18"/>
      <c r="F87" s="18"/>
      <c r="G87" s="18"/>
      <c r="H87" s="18"/>
    </row>
    <row r="88" spans="1:8" ht="14.25" customHeight="1">
      <c r="A88" s="18"/>
      <c r="B88" s="18"/>
      <c r="C88" s="18"/>
      <c r="D88" s="18"/>
      <c r="E88" s="18"/>
      <c r="F88" s="18"/>
      <c r="G88" s="18"/>
      <c r="H88" s="18"/>
    </row>
    <row r="89" spans="1:8" ht="14.25" customHeight="1">
      <c r="A89" s="18"/>
      <c r="B89" s="18"/>
      <c r="C89" s="18"/>
      <c r="D89" s="18"/>
      <c r="E89" s="18"/>
      <c r="F89" s="18"/>
      <c r="G89" s="18"/>
      <c r="H89" s="18"/>
    </row>
    <row r="90" spans="1:8" ht="14.25" customHeight="1">
      <c r="A90" s="18"/>
      <c r="B90" s="18"/>
      <c r="C90" s="18"/>
      <c r="D90" s="18"/>
      <c r="E90" s="18"/>
      <c r="F90" s="18"/>
      <c r="G90" s="18"/>
      <c r="H90" s="18"/>
    </row>
    <row r="91" spans="1:8" ht="14.25" customHeight="1">
      <c r="A91" s="18"/>
      <c r="B91" s="18"/>
      <c r="C91" s="18"/>
      <c r="D91" s="18"/>
      <c r="E91" s="18"/>
      <c r="F91" s="18"/>
      <c r="G91" s="18"/>
      <c r="H91" s="18"/>
    </row>
    <row r="92" spans="1:8" ht="14.25" customHeight="1">
      <c r="A92" s="18"/>
      <c r="B92" s="18"/>
      <c r="C92" s="18"/>
      <c r="D92" s="18"/>
      <c r="E92" s="18"/>
      <c r="F92" s="18"/>
      <c r="G92" s="18"/>
      <c r="H92" s="18"/>
    </row>
    <row r="93" spans="1:8" ht="14.25" customHeight="1">
      <c r="A93" s="18"/>
      <c r="B93" s="18"/>
      <c r="C93" s="18"/>
      <c r="D93" s="18"/>
      <c r="E93" s="18"/>
      <c r="F93" s="18"/>
      <c r="G93" s="18"/>
      <c r="H93" s="18"/>
    </row>
    <row r="94" spans="1:8" ht="14.25" customHeight="1">
      <c r="A94" s="18"/>
      <c r="B94" s="18"/>
      <c r="C94" s="18"/>
      <c r="D94" s="18"/>
      <c r="E94" s="18"/>
      <c r="F94" s="18"/>
      <c r="G94" s="18"/>
      <c r="H94" s="18"/>
    </row>
    <row r="95" spans="1:8" ht="14.25" customHeight="1">
      <c r="A95" s="18"/>
      <c r="B95" s="18"/>
      <c r="C95" s="18"/>
      <c r="D95" s="18"/>
      <c r="E95" s="18"/>
      <c r="F95" s="18"/>
      <c r="G95" s="18"/>
      <c r="H95" s="18"/>
    </row>
    <row r="96" spans="1:8" ht="14.25" customHeight="1">
      <c r="A96" s="18"/>
      <c r="B96" s="18"/>
      <c r="C96" s="18"/>
      <c r="D96" s="18"/>
      <c r="E96" s="18"/>
      <c r="F96" s="18"/>
      <c r="G96" s="18"/>
      <c r="H96" s="18"/>
    </row>
    <row r="97" spans="1:8" ht="14.25" customHeight="1">
      <c r="A97" s="18"/>
      <c r="B97" s="18"/>
      <c r="C97" s="18"/>
      <c r="D97" s="18"/>
      <c r="E97" s="18"/>
      <c r="F97" s="18"/>
      <c r="G97" s="18"/>
      <c r="H97" s="18"/>
    </row>
    <row r="98" spans="1:8" ht="14.25" customHeight="1">
      <c r="A98" s="18"/>
      <c r="B98" s="18"/>
      <c r="C98" s="18"/>
      <c r="D98" s="18"/>
      <c r="E98" s="18"/>
      <c r="F98" s="18"/>
      <c r="G98" s="18"/>
      <c r="H98" s="18"/>
    </row>
    <row r="99" spans="1:8" ht="14.25" customHeight="1">
      <c r="A99" s="18"/>
      <c r="B99" s="18"/>
      <c r="C99" s="18"/>
      <c r="D99" s="18"/>
      <c r="E99" s="18"/>
      <c r="F99" s="18"/>
      <c r="G99" s="18"/>
      <c r="H99" s="18"/>
    </row>
    <row r="100" spans="1:8" ht="14.25" customHeight="1">
      <c r="A100" s="18"/>
      <c r="B100" s="18"/>
      <c r="C100" s="18"/>
      <c r="D100" s="18"/>
      <c r="E100" s="18"/>
      <c r="F100" s="18"/>
      <c r="G100" s="18"/>
      <c r="H100" s="18"/>
    </row>
    <row r="101" spans="1:8" ht="14.25" customHeight="1">
      <c r="A101" s="18"/>
      <c r="B101" s="18"/>
      <c r="C101" s="18"/>
      <c r="D101" s="18"/>
      <c r="E101" s="18"/>
      <c r="F101" s="18"/>
      <c r="G101" s="18"/>
      <c r="H101" s="18"/>
    </row>
    <row r="102" spans="1:8" ht="14.25" customHeight="1">
      <c r="A102" s="18"/>
      <c r="B102" s="18"/>
      <c r="C102" s="18"/>
      <c r="D102" s="18"/>
      <c r="E102" s="18"/>
      <c r="F102" s="18"/>
      <c r="G102" s="18"/>
      <c r="H102" s="18"/>
    </row>
    <row r="103" spans="1:8" ht="14.25" customHeight="1">
      <c r="A103" s="18"/>
      <c r="B103" s="18"/>
      <c r="C103" s="18"/>
      <c r="D103" s="18"/>
      <c r="E103" s="18"/>
      <c r="F103" s="18"/>
      <c r="G103" s="18"/>
      <c r="H103" s="18"/>
    </row>
    <row r="104" spans="1:8" ht="14.25" customHeight="1">
      <c r="A104" s="18"/>
      <c r="B104" s="18"/>
      <c r="C104" s="18"/>
      <c r="D104" s="18"/>
      <c r="E104" s="18"/>
      <c r="F104" s="18"/>
      <c r="G104" s="18"/>
      <c r="H104" s="18"/>
    </row>
    <row r="105" spans="1:8" ht="14.25" customHeight="1">
      <c r="A105" s="18"/>
      <c r="B105" s="18"/>
      <c r="C105" s="18"/>
      <c r="D105" s="18"/>
      <c r="E105" s="18"/>
      <c r="F105" s="18"/>
      <c r="G105" s="18"/>
      <c r="H105" s="18"/>
    </row>
    <row r="106" spans="1:8" ht="14.25" customHeight="1">
      <c r="A106" s="18"/>
      <c r="B106" s="18"/>
      <c r="C106" s="18"/>
      <c r="D106" s="18"/>
      <c r="E106" s="18"/>
      <c r="F106" s="18"/>
      <c r="G106" s="18"/>
      <c r="H106" s="18"/>
    </row>
    <row r="107" spans="1:8" ht="14.25" customHeight="1">
      <c r="A107" s="18"/>
      <c r="B107" s="18"/>
      <c r="C107" s="18"/>
      <c r="D107" s="18"/>
      <c r="E107" s="18"/>
      <c r="F107" s="18"/>
      <c r="G107" s="18"/>
      <c r="H107" s="18"/>
    </row>
    <row r="108" spans="1:8" ht="14.25" customHeight="1">
      <c r="A108" s="18"/>
      <c r="B108" s="18"/>
      <c r="C108" s="18"/>
      <c r="D108" s="18"/>
      <c r="E108" s="18"/>
      <c r="F108" s="18"/>
      <c r="G108" s="18"/>
      <c r="H108" s="18"/>
    </row>
    <row r="109" spans="1:8" ht="14.25" customHeight="1">
      <c r="A109" s="18"/>
      <c r="B109" s="18"/>
      <c r="C109" s="18"/>
      <c r="D109" s="18"/>
      <c r="E109" s="18"/>
      <c r="F109" s="18"/>
      <c r="G109" s="18"/>
      <c r="H109" s="18"/>
    </row>
    <row r="110" spans="1:8" ht="14.25" customHeight="1">
      <c r="A110" s="18"/>
      <c r="B110" s="18"/>
      <c r="C110" s="18"/>
      <c r="D110" s="18"/>
      <c r="E110" s="18"/>
      <c r="F110" s="18"/>
      <c r="G110" s="18"/>
      <c r="H110" s="18"/>
    </row>
    <row r="111" spans="1:8" ht="14.25" customHeight="1">
      <c r="A111" s="18"/>
      <c r="B111" s="18"/>
      <c r="C111" s="18"/>
      <c r="D111" s="18"/>
      <c r="E111" s="18"/>
      <c r="F111" s="18"/>
      <c r="G111" s="18"/>
      <c r="H111" s="18"/>
    </row>
    <row r="112" spans="1:8" ht="14.25" customHeight="1">
      <c r="A112" s="18"/>
      <c r="B112" s="18"/>
      <c r="C112" s="18"/>
      <c r="D112" s="18"/>
      <c r="E112" s="18"/>
      <c r="F112" s="18"/>
      <c r="G112" s="18"/>
      <c r="H112" s="18"/>
    </row>
    <row r="113" spans="1:8" ht="14.25" customHeight="1">
      <c r="A113" s="18"/>
      <c r="B113" s="18"/>
      <c r="C113" s="18"/>
      <c r="D113" s="18"/>
      <c r="E113" s="18"/>
      <c r="F113" s="18"/>
      <c r="G113" s="18"/>
      <c r="H113" s="18"/>
    </row>
    <row r="114" spans="1:8" ht="14.25" customHeight="1">
      <c r="A114" s="18"/>
      <c r="B114" s="18"/>
      <c r="C114" s="18"/>
      <c r="D114" s="18"/>
      <c r="E114" s="18"/>
      <c r="F114" s="18"/>
      <c r="G114" s="18"/>
      <c r="H114" s="18"/>
    </row>
    <row r="115" spans="1:8" ht="14.25" customHeight="1">
      <c r="A115" s="18"/>
      <c r="B115" s="18"/>
      <c r="C115" s="18"/>
      <c r="D115" s="18"/>
      <c r="E115" s="18"/>
      <c r="F115" s="18"/>
      <c r="G115" s="18"/>
      <c r="H115" s="18"/>
    </row>
    <row r="116" spans="1:8" ht="14.25" customHeight="1">
      <c r="A116" s="18"/>
      <c r="B116" s="18"/>
      <c r="C116" s="18"/>
      <c r="D116" s="18"/>
      <c r="E116" s="18"/>
      <c r="F116" s="18"/>
      <c r="G116" s="18"/>
      <c r="H116" s="18"/>
    </row>
    <row r="117" spans="1:8" ht="14.25" customHeight="1">
      <c r="A117" s="18"/>
      <c r="B117" s="18"/>
      <c r="C117" s="18"/>
      <c r="D117" s="18"/>
      <c r="E117" s="18"/>
      <c r="F117" s="18"/>
      <c r="G117" s="18"/>
      <c r="H117" s="18"/>
    </row>
    <row r="118" spans="1:8" ht="14.25" customHeight="1">
      <c r="A118" s="18"/>
      <c r="B118" s="18"/>
      <c r="C118" s="18"/>
      <c r="D118" s="18"/>
      <c r="E118" s="18"/>
      <c r="F118" s="18"/>
      <c r="G118" s="18"/>
      <c r="H118" s="18"/>
    </row>
    <row r="119" spans="1:8" ht="14.25" customHeight="1">
      <c r="A119" s="18"/>
      <c r="B119" s="18"/>
      <c r="C119" s="18"/>
      <c r="D119" s="18"/>
      <c r="E119" s="18"/>
      <c r="F119" s="18"/>
      <c r="G119" s="18"/>
      <c r="H119" s="18"/>
    </row>
    <row r="120" spans="1:8" ht="14.25" customHeight="1">
      <c r="A120" s="18"/>
      <c r="B120" s="18"/>
      <c r="C120" s="18"/>
      <c r="D120" s="18"/>
      <c r="E120" s="18"/>
      <c r="F120" s="18"/>
      <c r="G120" s="18"/>
      <c r="H120" s="18"/>
    </row>
    <row r="121" spans="1:8" ht="14.25" customHeight="1">
      <c r="A121" s="18"/>
      <c r="B121" s="18"/>
      <c r="C121" s="18"/>
      <c r="D121" s="18"/>
      <c r="E121" s="18"/>
      <c r="F121" s="18"/>
      <c r="G121" s="18"/>
      <c r="H121" s="18"/>
    </row>
    <row r="122" spans="1:8" ht="14.25" customHeight="1">
      <c r="A122" s="18"/>
      <c r="B122" s="18"/>
      <c r="C122" s="18"/>
      <c r="D122" s="18"/>
      <c r="E122" s="18"/>
      <c r="F122" s="18"/>
      <c r="G122" s="18"/>
      <c r="H122" s="18"/>
    </row>
    <row r="123" spans="1:8" ht="14.25" customHeight="1">
      <c r="A123" s="18"/>
      <c r="B123" s="18"/>
      <c r="C123" s="18"/>
      <c r="D123" s="18"/>
      <c r="E123" s="18"/>
      <c r="F123" s="18"/>
      <c r="G123" s="18"/>
      <c r="H123" s="18"/>
    </row>
    <row r="124" spans="1:8" ht="14.25" customHeight="1">
      <c r="A124" s="18"/>
      <c r="B124" s="18"/>
      <c r="C124" s="18"/>
      <c r="D124" s="18"/>
      <c r="E124" s="18"/>
      <c r="F124" s="18"/>
      <c r="G124" s="18"/>
      <c r="H124" s="18"/>
    </row>
    <row r="125" spans="1:8" ht="14.25" customHeight="1">
      <c r="A125" s="18"/>
      <c r="B125" s="18"/>
      <c r="C125" s="18"/>
      <c r="D125" s="18"/>
      <c r="E125" s="18"/>
      <c r="F125" s="18"/>
      <c r="G125" s="18"/>
      <c r="H125" s="18"/>
    </row>
    <row r="126" spans="1:8" ht="14.25" customHeight="1">
      <c r="A126" s="18"/>
      <c r="B126" s="18"/>
      <c r="C126" s="18"/>
      <c r="D126" s="18"/>
      <c r="E126" s="18"/>
      <c r="F126" s="18"/>
      <c r="G126" s="18"/>
      <c r="H126" s="18"/>
    </row>
    <row r="127" spans="1:8" ht="14.25" customHeight="1">
      <c r="A127" s="18"/>
      <c r="B127" s="18"/>
      <c r="C127" s="18"/>
      <c r="D127" s="18"/>
      <c r="E127" s="18"/>
      <c r="F127" s="18"/>
      <c r="G127" s="18"/>
      <c r="H127" s="18"/>
    </row>
    <row r="128" spans="1:8" ht="14.25" customHeight="1">
      <c r="A128" s="18"/>
      <c r="B128" s="18"/>
      <c r="C128" s="18"/>
      <c r="D128" s="18"/>
      <c r="E128" s="18"/>
      <c r="F128" s="18"/>
      <c r="G128" s="18"/>
      <c r="H128" s="18"/>
    </row>
    <row r="129" spans="1:8" ht="14.25" customHeight="1">
      <c r="A129" s="18"/>
      <c r="B129" s="18"/>
      <c r="C129" s="18"/>
      <c r="D129" s="18"/>
      <c r="E129" s="18"/>
      <c r="F129" s="18"/>
      <c r="G129" s="18"/>
      <c r="H129" s="18"/>
    </row>
    <row r="130" spans="1:8" ht="14.25" customHeight="1">
      <c r="A130" s="18"/>
      <c r="B130" s="18"/>
      <c r="C130" s="18"/>
      <c r="D130" s="18"/>
      <c r="E130" s="18"/>
      <c r="F130" s="18"/>
      <c r="G130" s="18"/>
      <c r="H130" s="18"/>
    </row>
    <row r="131" spans="1:8" ht="14.25" customHeight="1">
      <c r="A131" s="18"/>
      <c r="B131" s="18"/>
      <c r="C131" s="18"/>
      <c r="D131" s="18"/>
      <c r="E131" s="18"/>
      <c r="F131" s="18"/>
      <c r="G131" s="18"/>
      <c r="H131" s="18"/>
    </row>
    <row r="132" spans="1:8" ht="14.25" customHeight="1">
      <c r="A132" s="18"/>
      <c r="B132" s="18"/>
      <c r="C132" s="18"/>
      <c r="D132" s="18"/>
      <c r="E132" s="18"/>
      <c r="F132" s="18"/>
      <c r="G132" s="18"/>
      <c r="H132" s="18"/>
    </row>
    <row r="133" spans="1:8" ht="14.25" customHeight="1">
      <c r="A133" s="18"/>
      <c r="B133" s="18"/>
      <c r="C133" s="18"/>
      <c r="D133" s="18"/>
      <c r="E133" s="18"/>
      <c r="F133" s="18"/>
      <c r="G133" s="18"/>
      <c r="H133" s="18"/>
    </row>
    <row r="134" spans="1:8" ht="14.25" customHeight="1">
      <c r="A134" s="18"/>
      <c r="B134" s="18"/>
      <c r="C134" s="18"/>
      <c r="D134" s="18"/>
      <c r="E134" s="18"/>
      <c r="F134" s="18"/>
      <c r="G134" s="18"/>
      <c r="H134" s="18"/>
    </row>
    <row r="135" spans="1:8" ht="14.25" customHeight="1">
      <c r="A135" s="18"/>
      <c r="B135" s="18"/>
      <c r="C135" s="18"/>
      <c r="D135" s="18"/>
      <c r="E135" s="18"/>
      <c r="F135" s="18"/>
      <c r="G135" s="18"/>
      <c r="H135" s="18"/>
    </row>
    <row r="136" spans="1:8" ht="14.25" customHeight="1">
      <c r="A136" s="18"/>
      <c r="B136" s="18"/>
      <c r="C136" s="18"/>
      <c r="D136" s="18"/>
      <c r="E136" s="18"/>
      <c r="F136" s="18"/>
      <c r="G136" s="18"/>
      <c r="H136" s="18"/>
    </row>
    <row r="137" spans="1:8" ht="14.25" customHeight="1">
      <c r="A137" s="18"/>
      <c r="B137" s="18"/>
      <c r="C137" s="18"/>
      <c r="D137" s="18"/>
      <c r="E137" s="18"/>
      <c r="F137" s="18"/>
      <c r="G137" s="18"/>
      <c r="H137" s="18"/>
    </row>
    <row r="138" spans="1:8" ht="14.25" customHeight="1">
      <c r="A138" s="18"/>
      <c r="B138" s="18"/>
      <c r="C138" s="18"/>
      <c r="D138" s="18"/>
      <c r="E138" s="18"/>
      <c r="F138" s="18"/>
      <c r="G138" s="18"/>
      <c r="H138" s="18"/>
    </row>
    <row r="139" spans="1:8" ht="14.25" customHeight="1">
      <c r="A139" s="18"/>
      <c r="B139" s="18"/>
      <c r="C139" s="18"/>
      <c r="D139" s="18"/>
      <c r="E139" s="18"/>
      <c r="F139" s="18"/>
      <c r="G139" s="18"/>
      <c r="H139" s="18"/>
    </row>
    <row r="140" spans="1:8" ht="14.25" customHeight="1">
      <c r="A140" s="18"/>
      <c r="B140" s="18"/>
      <c r="C140" s="18"/>
      <c r="D140" s="18"/>
      <c r="E140" s="18"/>
      <c r="F140" s="18"/>
      <c r="G140" s="18"/>
      <c r="H140" s="18"/>
    </row>
    <row r="141" spans="1:8" ht="14.25" customHeight="1">
      <c r="A141" s="18"/>
      <c r="B141" s="18"/>
      <c r="C141" s="18"/>
      <c r="D141" s="18"/>
      <c r="E141" s="18"/>
      <c r="F141" s="18"/>
      <c r="G141" s="18"/>
      <c r="H141" s="18"/>
    </row>
    <row r="142" spans="1:8" ht="14.25" customHeight="1">
      <c r="A142" s="18"/>
      <c r="B142" s="18"/>
      <c r="C142" s="18"/>
      <c r="D142" s="18"/>
      <c r="E142" s="18"/>
      <c r="F142" s="18"/>
      <c r="G142" s="18"/>
      <c r="H142" s="18"/>
    </row>
    <row r="143" spans="1:8" ht="14.25" customHeight="1">
      <c r="A143" s="18"/>
      <c r="B143" s="18"/>
      <c r="C143" s="18"/>
      <c r="D143" s="18"/>
      <c r="E143" s="18"/>
      <c r="F143" s="18"/>
      <c r="G143" s="18"/>
      <c r="H143" s="18"/>
    </row>
    <row r="144" spans="1:8" ht="14.25" customHeight="1">
      <c r="A144" s="18"/>
      <c r="B144" s="18"/>
      <c r="C144" s="18"/>
      <c r="D144" s="18"/>
      <c r="E144" s="18"/>
      <c r="F144" s="18"/>
      <c r="G144" s="18"/>
      <c r="H144" s="18"/>
    </row>
    <row r="145" spans="1:8" ht="14.25" customHeight="1">
      <c r="A145" s="18"/>
      <c r="B145" s="18"/>
      <c r="C145" s="18"/>
      <c r="D145" s="18"/>
      <c r="E145" s="18"/>
      <c r="F145" s="18"/>
      <c r="G145" s="18"/>
      <c r="H145" s="18"/>
    </row>
    <row r="146" spans="1:8" ht="14.25" customHeight="1">
      <c r="A146" s="18"/>
      <c r="B146" s="18"/>
      <c r="C146" s="18"/>
      <c r="D146" s="18"/>
      <c r="E146" s="18"/>
      <c r="F146" s="18"/>
      <c r="G146" s="18"/>
      <c r="H146" s="18"/>
    </row>
    <row r="147" spans="1:8" ht="14.25" customHeight="1">
      <c r="A147" s="18"/>
      <c r="B147" s="18"/>
      <c r="C147" s="18"/>
      <c r="D147" s="18"/>
      <c r="E147" s="18"/>
      <c r="F147" s="18"/>
      <c r="G147" s="18"/>
      <c r="H147" s="18"/>
    </row>
    <row r="148" spans="1:8" ht="14.25" customHeight="1">
      <c r="A148" s="18"/>
      <c r="B148" s="18"/>
      <c r="C148" s="18"/>
      <c r="D148" s="18"/>
      <c r="E148" s="18"/>
      <c r="F148" s="18"/>
      <c r="G148" s="18"/>
      <c r="H148" s="18"/>
    </row>
    <row r="149" spans="1:8" ht="14.25" customHeight="1">
      <c r="A149" s="18"/>
      <c r="B149" s="18"/>
      <c r="C149" s="18"/>
      <c r="D149" s="18"/>
      <c r="E149" s="18"/>
      <c r="F149" s="18"/>
      <c r="G149" s="18"/>
      <c r="H149" s="18"/>
    </row>
    <row r="150" spans="1:8" ht="14.25" customHeight="1">
      <c r="A150" s="18"/>
      <c r="B150" s="18"/>
      <c r="C150" s="18"/>
      <c r="D150" s="18"/>
      <c r="E150" s="18"/>
      <c r="F150" s="18"/>
      <c r="G150" s="18"/>
      <c r="H150" s="18"/>
    </row>
    <row r="151" spans="1:8" ht="14.25" customHeight="1">
      <c r="A151" s="18"/>
      <c r="B151" s="18"/>
      <c r="C151" s="18"/>
      <c r="D151" s="18"/>
      <c r="E151" s="18"/>
      <c r="F151" s="18"/>
      <c r="G151" s="18"/>
      <c r="H151" s="18"/>
    </row>
    <row r="152" spans="1:8" ht="14.25" customHeight="1">
      <c r="A152" s="18"/>
      <c r="B152" s="18"/>
      <c r="C152" s="18"/>
      <c r="D152" s="18"/>
      <c r="E152" s="18"/>
      <c r="F152" s="18"/>
      <c r="G152" s="18"/>
      <c r="H152" s="18"/>
    </row>
    <row r="153" spans="1:8" ht="14.25" customHeight="1">
      <c r="A153" s="18"/>
      <c r="B153" s="18"/>
      <c r="C153" s="18"/>
      <c r="D153" s="18"/>
      <c r="E153" s="18"/>
      <c r="F153" s="18"/>
      <c r="G153" s="18"/>
      <c r="H153" s="18"/>
    </row>
    <row r="154" spans="1:8" ht="14.25" customHeight="1">
      <c r="A154" s="18"/>
      <c r="B154" s="18"/>
      <c r="C154" s="18"/>
      <c r="D154" s="18"/>
      <c r="E154" s="18"/>
      <c r="F154" s="18"/>
      <c r="G154" s="18"/>
      <c r="H154" s="18"/>
    </row>
    <row r="155" spans="1:8" ht="14.25" customHeight="1">
      <c r="A155" s="18"/>
      <c r="B155" s="18"/>
      <c r="C155" s="18"/>
      <c r="D155" s="18"/>
      <c r="E155" s="18"/>
      <c r="F155" s="18"/>
      <c r="G155" s="18"/>
      <c r="H155" s="18"/>
    </row>
    <row r="156" spans="1:8" ht="14.25" customHeight="1">
      <c r="A156" s="18"/>
      <c r="B156" s="18"/>
      <c r="C156" s="18"/>
      <c r="D156" s="18"/>
      <c r="E156" s="18"/>
      <c r="F156" s="18"/>
      <c r="G156" s="18"/>
      <c r="H156" s="18"/>
    </row>
    <row r="157" spans="1:8" ht="14.25" customHeight="1">
      <c r="A157" s="18"/>
      <c r="B157" s="18"/>
      <c r="C157" s="18"/>
      <c r="D157" s="18"/>
      <c r="E157" s="18"/>
      <c r="F157" s="18"/>
      <c r="G157" s="18"/>
      <c r="H157" s="18"/>
    </row>
    <row r="158" spans="1:8" ht="14.25" customHeight="1">
      <c r="A158" s="18"/>
      <c r="B158" s="18"/>
      <c r="C158" s="18"/>
      <c r="D158" s="18"/>
      <c r="E158" s="18"/>
      <c r="F158" s="18"/>
      <c r="G158" s="18"/>
      <c r="H158" s="18"/>
    </row>
    <row r="159" spans="1:8" ht="14.25" customHeight="1">
      <c r="A159" s="18"/>
      <c r="B159" s="18"/>
      <c r="C159" s="18"/>
      <c r="D159" s="18"/>
      <c r="E159" s="18"/>
      <c r="F159" s="18"/>
      <c r="G159" s="18"/>
      <c r="H159" s="18"/>
    </row>
    <row r="160" spans="1:8" ht="14.25" customHeight="1">
      <c r="A160" s="18"/>
      <c r="B160" s="18"/>
      <c r="C160" s="18"/>
      <c r="D160" s="18"/>
      <c r="E160" s="18"/>
      <c r="F160" s="18"/>
      <c r="G160" s="18"/>
      <c r="H160" s="18"/>
    </row>
    <row r="161" spans="1:8" ht="14.25" customHeight="1">
      <c r="A161" s="18"/>
      <c r="B161" s="18"/>
      <c r="C161" s="18"/>
      <c r="D161" s="18"/>
      <c r="E161" s="18"/>
      <c r="F161" s="18"/>
      <c r="G161" s="18"/>
      <c r="H161" s="18"/>
    </row>
    <row r="162" spans="1:8" ht="14.25" customHeight="1">
      <c r="A162" s="18"/>
      <c r="B162" s="18"/>
      <c r="C162" s="18"/>
      <c r="D162" s="18"/>
      <c r="E162" s="18"/>
      <c r="F162" s="18"/>
      <c r="G162" s="18"/>
      <c r="H162" s="18"/>
    </row>
    <row r="163" spans="1:8" ht="14.25" customHeight="1">
      <c r="A163" s="18"/>
      <c r="B163" s="18"/>
      <c r="C163" s="18"/>
      <c r="D163" s="18"/>
      <c r="E163" s="18"/>
      <c r="F163" s="18"/>
      <c r="G163" s="18"/>
      <c r="H163" s="18"/>
    </row>
    <row r="164" spans="1:8" ht="14.25" customHeight="1">
      <c r="A164" s="18"/>
      <c r="B164" s="18"/>
      <c r="C164" s="18"/>
      <c r="D164" s="18"/>
      <c r="E164" s="18"/>
      <c r="F164" s="18"/>
      <c r="G164" s="18"/>
      <c r="H164" s="18"/>
    </row>
    <row r="165" spans="1:8" ht="14.25" customHeight="1">
      <c r="A165" s="18"/>
      <c r="B165" s="18"/>
      <c r="C165" s="18"/>
      <c r="D165" s="18"/>
      <c r="E165" s="18"/>
      <c r="F165" s="18"/>
      <c r="G165" s="18"/>
      <c r="H165" s="18"/>
    </row>
    <row r="166" spans="1:8" ht="14.25" customHeight="1">
      <c r="A166" s="18"/>
      <c r="B166" s="18"/>
      <c r="C166" s="18"/>
      <c r="D166" s="18"/>
      <c r="E166" s="18"/>
      <c r="F166" s="18"/>
      <c r="G166" s="18"/>
      <c r="H166" s="18"/>
    </row>
    <row r="167" spans="1:8" ht="14.25" customHeight="1">
      <c r="A167" s="18"/>
      <c r="B167" s="18"/>
      <c r="C167" s="18"/>
      <c r="D167" s="18"/>
      <c r="E167" s="18"/>
      <c r="F167" s="18"/>
      <c r="G167" s="18"/>
      <c r="H167" s="18"/>
    </row>
    <row r="168" spans="1:8" ht="14.25" customHeight="1">
      <c r="A168" s="18"/>
      <c r="B168" s="18"/>
      <c r="C168" s="18"/>
      <c r="D168" s="18"/>
      <c r="E168" s="18"/>
      <c r="F168" s="18"/>
      <c r="G168" s="18"/>
      <c r="H168" s="18"/>
    </row>
    <row r="169" spans="1:8" ht="14.25" customHeight="1">
      <c r="A169" s="18"/>
      <c r="B169" s="18"/>
      <c r="C169" s="18"/>
      <c r="D169" s="18"/>
      <c r="E169" s="18"/>
      <c r="F169" s="18"/>
      <c r="G169" s="18"/>
      <c r="H169" s="18"/>
    </row>
    <row r="170" spans="1:8" ht="14.25" customHeight="1">
      <c r="A170" s="18"/>
      <c r="B170" s="18"/>
      <c r="C170" s="18"/>
      <c r="D170" s="18"/>
      <c r="E170" s="18"/>
      <c r="F170" s="18"/>
      <c r="G170" s="18"/>
      <c r="H170" s="18"/>
    </row>
    <row r="171" spans="1:8" ht="14.25" customHeight="1">
      <c r="A171" s="18"/>
      <c r="B171" s="18"/>
      <c r="C171" s="18"/>
      <c r="D171" s="18"/>
      <c r="E171" s="18"/>
      <c r="F171" s="18"/>
      <c r="G171" s="18"/>
      <c r="H171" s="18"/>
    </row>
    <row r="172" spans="1:8" ht="14.25" customHeight="1">
      <c r="A172" s="18"/>
      <c r="B172" s="18"/>
      <c r="C172" s="18"/>
      <c r="D172" s="18"/>
      <c r="E172" s="18"/>
      <c r="F172" s="18"/>
      <c r="G172" s="18"/>
      <c r="H172" s="18"/>
    </row>
    <row r="173" spans="1:8" ht="14.25" customHeight="1">
      <c r="A173" s="18"/>
      <c r="B173" s="18"/>
      <c r="C173" s="18"/>
      <c r="D173" s="18"/>
      <c r="E173" s="18"/>
      <c r="F173" s="18"/>
      <c r="G173" s="18"/>
      <c r="H173" s="18"/>
    </row>
    <row r="174" spans="1:8" ht="14.25" customHeight="1">
      <c r="A174" s="18"/>
      <c r="B174" s="18"/>
      <c r="C174" s="18"/>
      <c r="D174" s="18"/>
      <c r="E174" s="18"/>
      <c r="F174" s="18"/>
      <c r="G174" s="18"/>
      <c r="H174" s="18"/>
    </row>
    <row r="175" spans="1:8" ht="14.25" customHeight="1">
      <c r="A175" s="18"/>
      <c r="B175" s="18"/>
      <c r="C175" s="18"/>
      <c r="D175" s="18"/>
      <c r="E175" s="18"/>
      <c r="F175" s="18"/>
      <c r="G175" s="18"/>
      <c r="H175" s="18"/>
    </row>
    <row r="176" spans="1:8" ht="14.25" customHeight="1">
      <c r="A176" s="18"/>
      <c r="B176" s="18"/>
      <c r="C176" s="18"/>
      <c r="D176" s="18"/>
      <c r="E176" s="18"/>
      <c r="F176" s="18"/>
      <c r="G176" s="18"/>
      <c r="H176" s="18"/>
    </row>
    <row r="177" spans="1:8" ht="14.25" customHeight="1">
      <c r="A177" s="18"/>
      <c r="B177" s="18"/>
      <c r="C177" s="18"/>
      <c r="D177" s="18"/>
      <c r="E177" s="18"/>
      <c r="F177" s="18"/>
      <c r="G177" s="18"/>
      <c r="H177" s="18"/>
    </row>
    <row r="178" spans="1:8" ht="14.25" customHeight="1">
      <c r="A178" s="18"/>
      <c r="B178" s="18"/>
      <c r="C178" s="18"/>
      <c r="D178" s="18"/>
      <c r="E178" s="18"/>
      <c r="F178" s="18"/>
      <c r="G178" s="18"/>
      <c r="H178" s="18"/>
    </row>
    <row r="179" spans="1:8" ht="14.25" customHeight="1">
      <c r="A179" s="18"/>
      <c r="B179" s="18"/>
      <c r="C179" s="18"/>
      <c r="D179" s="18"/>
      <c r="E179" s="18"/>
      <c r="F179" s="18"/>
      <c r="G179" s="18"/>
      <c r="H179" s="18"/>
    </row>
    <row r="180" spans="1:8" ht="14.25" customHeight="1">
      <c r="A180" s="18"/>
      <c r="B180" s="18"/>
      <c r="C180" s="18"/>
      <c r="D180" s="18"/>
      <c r="E180" s="18"/>
      <c r="F180" s="18"/>
      <c r="G180" s="18"/>
      <c r="H180" s="18"/>
    </row>
    <row r="181" spans="1:8" ht="14.25" customHeight="1">
      <c r="A181" s="18"/>
      <c r="B181" s="18"/>
      <c r="C181" s="18"/>
      <c r="D181" s="18"/>
      <c r="E181" s="18"/>
      <c r="F181" s="18"/>
      <c r="G181" s="18"/>
      <c r="H181" s="18"/>
    </row>
    <row r="182" spans="1:8" ht="14.25" customHeight="1">
      <c r="A182" s="18"/>
      <c r="B182" s="18"/>
      <c r="C182" s="18"/>
      <c r="D182" s="18"/>
      <c r="E182" s="18"/>
      <c r="F182" s="18"/>
      <c r="G182" s="18"/>
      <c r="H182" s="18"/>
    </row>
    <row r="183" spans="1:8" ht="14.25" customHeight="1">
      <c r="A183" s="18"/>
      <c r="B183" s="18"/>
      <c r="C183" s="18"/>
      <c r="D183" s="18"/>
      <c r="E183" s="18"/>
      <c r="F183" s="18"/>
      <c r="G183" s="18"/>
      <c r="H183" s="18"/>
    </row>
    <row r="184" spans="1:8" ht="14.25" customHeight="1">
      <c r="A184" s="18"/>
      <c r="B184" s="18"/>
      <c r="C184" s="18"/>
      <c r="D184" s="18"/>
      <c r="E184" s="18"/>
      <c r="F184" s="18"/>
      <c r="G184" s="18"/>
      <c r="H184" s="18"/>
    </row>
    <row r="185" spans="1:8" ht="14.25" customHeight="1">
      <c r="A185" s="18"/>
      <c r="B185" s="18"/>
      <c r="C185" s="18"/>
      <c r="D185" s="18"/>
      <c r="E185" s="18"/>
      <c r="F185" s="18"/>
      <c r="G185" s="18"/>
      <c r="H185" s="18"/>
    </row>
    <row r="186" spans="1:8" ht="14.25" customHeight="1">
      <c r="A186" s="18"/>
      <c r="B186" s="18"/>
      <c r="C186" s="18"/>
      <c r="D186" s="18"/>
      <c r="E186" s="18"/>
      <c r="F186" s="18"/>
      <c r="G186" s="18"/>
      <c r="H186" s="18"/>
    </row>
    <row r="187" spans="1:8" ht="14.25" customHeight="1">
      <c r="A187" s="18"/>
      <c r="B187" s="18"/>
      <c r="C187" s="18"/>
      <c r="D187" s="18"/>
      <c r="E187" s="18"/>
      <c r="F187" s="18"/>
      <c r="G187" s="18"/>
      <c r="H187" s="18"/>
    </row>
    <row r="188" spans="1:8" ht="14.25" customHeight="1">
      <c r="A188" s="18"/>
      <c r="B188" s="18"/>
      <c r="C188" s="18"/>
      <c r="D188" s="18"/>
      <c r="E188" s="18"/>
      <c r="F188" s="18"/>
      <c r="G188" s="18"/>
      <c r="H188" s="18"/>
    </row>
    <row r="189" spans="1:8" ht="14.25" customHeight="1">
      <c r="A189" s="18"/>
      <c r="B189" s="18"/>
      <c r="C189" s="18"/>
      <c r="D189" s="18"/>
      <c r="E189" s="18"/>
      <c r="F189" s="18"/>
      <c r="G189" s="18"/>
      <c r="H189" s="18"/>
    </row>
    <row r="190" spans="1:8" ht="14.25" customHeight="1">
      <c r="A190" s="18"/>
      <c r="B190" s="18"/>
      <c r="C190" s="18"/>
      <c r="D190" s="18"/>
      <c r="E190" s="18"/>
      <c r="F190" s="18"/>
      <c r="G190" s="18"/>
      <c r="H190" s="18"/>
    </row>
    <row r="191" spans="1:8" ht="14.25" customHeight="1">
      <c r="A191" s="18"/>
      <c r="B191" s="18"/>
      <c r="C191" s="18"/>
      <c r="D191" s="18"/>
      <c r="E191" s="18"/>
      <c r="F191" s="18"/>
      <c r="G191" s="18"/>
      <c r="H191" s="18"/>
    </row>
    <row r="192" spans="1:8" ht="14.25" customHeight="1">
      <c r="A192" s="18"/>
      <c r="B192" s="18"/>
      <c r="C192" s="18"/>
      <c r="D192" s="18"/>
      <c r="E192" s="18"/>
      <c r="F192" s="18"/>
      <c r="G192" s="18"/>
      <c r="H192" s="18"/>
    </row>
    <row r="193" spans="1:8" ht="14.25" customHeight="1">
      <c r="A193" s="18"/>
      <c r="B193" s="18"/>
      <c r="C193" s="18"/>
      <c r="D193" s="18"/>
      <c r="E193" s="18"/>
      <c r="F193" s="18"/>
      <c r="G193" s="18"/>
      <c r="H193" s="18"/>
    </row>
    <row r="194" spans="1:8" ht="14.25" customHeight="1">
      <c r="A194" s="18"/>
      <c r="B194" s="18"/>
      <c r="C194" s="18"/>
      <c r="D194" s="18"/>
      <c r="E194" s="18"/>
      <c r="F194" s="18"/>
      <c r="G194" s="18"/>
      <c r="H194" s="18"/>
    </row>
    <row r="195" spans="1:8" ht="14.25" customHeight="1">
      <c r="A195" s="18"/>
      <c r="B195" s="18"/>
      <c r="C195" s="18"/>
      <c r="D195" s="18"/>
      <c r="E195" s="18"/>
      <c r="F195" s="18"/>
      <c r="G195" s="18"/>
      <c r="H195" s="18"/>
    </row>
    <row r="196" spans="1:8" ht="14.25" customHeight="1">
      <c r="A196" s="18"/>
      <c r="B196" s="18"/>
      <c r="C196" s="18"/>
      <c r="D196" s="18"/>
      <c r="E196" s="18"/>
      <c r="F196" s="18"/>
      <c r="G196" s="18"/>
      <c r="H196" s="18"/>
    </row>
    <row r="197" spans="1:8" ht="14.25" customHeight="1">
      <c r="A197" s="18"/>
      <c r="B197" s="18"/>
      <c r="C197" s="18"/>
      <c r="D197" s="18"/>
      <c r="E197" s="18"/>
      <c r="F197" s="18"/>
      <c r="G197" s="18"/>
      <c r="H197" s="18"/>
    </row>
    <row r="198" spans="1:8" ht="14.25" customHeight="1">
      <c r="A198" s="18"/>
      <c r="B198" s="18"/>
      <c r="C198" s="18"/>
      <c r="D198" s="18"/>
      <c r="E198" s="18"/>
      <c r="F198" s="18"/>
      <c r="G198" s="18"/>
      <c r="H198" s="18"/>
    </row>
    <row r="199" spans="1:8" ht="14.25" customHeight="1">
      <c r="A199" s="18"/>
      <c r="B199" s="18"/>
      <c r="C199" s="18"/>
      <c r="D199" s="18"/>
      <c r="E199" s="18"/>
      <c r="F199" s="18"/>
      <c r="G199" s="18"/>
      <c r="H199" s="18"/>
    </row>
    <row r="200" spans="1:8" ht="14.25" customHeight="1">
      <c r="A200" s="18"/>
      <c r="B200" s="18"/>
      <c r="C200" s="18"/>
      <c r="D200" s="18"/>
      <c r="E200" s="18"/>
      <c r="F200" s="18"/>
      <c r="G200" s="18"/>
      <c r="H200" s="18"/>
    </row>
    <row r="201" spans="1:8" ht="14.25" customHeight="1">
      <c r="A201" s="18"/>
      <c r="B201" s="18"/>
      <c r="C201" s="18"/>
      <c r="D201" s="18"/>
      <c r="E201" s="18"/>
      <c r="F201" s="18"/>
      <c r="G201" s="18"/>
      <c r="H201" s="18"/>
    </row>
    <row r="202" spans="1:8" ht="14.25" customHeight="1">
      <c r="A202" s="18"/>
      <c r="B202" s="18"/>
      <c r="C202" s="18"/>
      <c r="D202" s="18"/>
      <c r="E202" s="18"/>
      <c r="F202" s="18"/>
      <c r="G202" s="18"/>
      <c r="H202" s="18"/>
    </row>
    <row r="203" spans="1:8" ht="14.25" customHeight="1">
      <c r="A203" s="18"/>
      <c r="B203" s="18"/>
      <c r="C203" s="18"/>
      <c r="D203" s="18"/>
      <c r="E203" s="18"/>
      <c r="F203" s="18"/>
      <c r="G203" s="18"/>
      <c r="H203" s="18"/>
    </row>
    <row r="204" spans="1:8" ht="14.25" customHeight="1">
      <c r="A204" s="18"/>
      <c r="B204" s="18"/>
      <c r="C204" s="18"/>
      <c r="D204" s="18"/>
      <c r="E204" s="18"/>
      <c r="F204" s="18"/>
      <c r="G204" s="18"/>
      <c r="H204" s="18"/>
    </row>
    <row r="205" spans="1:8" ht="14.25" customHeight="1">
      <c r="A205" s="18"/>
      <c r="B205" s="18"/>
      <c r="C205" s="18"/>
      <c r="D205" s="18"/>
      <c r="E205" s="18"/>
      <c r="F205" s="18"/>
      <c r="G205" s="18"/>
      <c r="H205" s="18"/>
    </row>
    <row r="206" spans="1:8" ht="14.25" customHeight="1">
      <c r="A206" s="18"/>
      <c r="B206" s="18"/>
      <c r="C206" s="18"/>
      <c r="D206" s="18"/>
      <c r="E206" s="18"/>
      <c r="F206" s="18"/>
      <c r="G206" s="18"/>
      <c r="H206" s="18"/>
    </row>
    <row r="207" spans="1:8" ht="14.25" customHeight="1">
      <c r="A207" s="18"/>
      <c r="B207" s="18"/>
      <c r="C207" s="18"/>
      <c r="D207" s="18"/>
      <c r="E207" s="18"/>
      <c r="F207" s="18"/>
      <c r="G207" s="18"/>
      <c r="H207" s="18"/>
    </row>
    <row r="208" spans="1:8" ht="14.25" customHeight="1">
      <c r="A208" s="18"/>
      <c r="B208" s="18"/>
      <c r="C208" s="18"/>
      <c r="D208" s="18"/>
      <c r="E208" s="18"/>
      <c r="F208" s="18"/>
      <c r="G208" s="18"/>
      <c r="H208" s="18"/>
    </row>
    <row r="209" spans="1:8" ht="14.25" customHeight="1">
      <c r="A209" s="18"/>
      <c r="B209" s="18"/>
      <c r="C209" s="18"/>
      <c r="D209" s="18"/>
      <c r="E209" s="18"/>
      <c r="F209" s="18"/>
      <c r="G209" s="18"/>
      <c r="H209" s="18"/>
    </row>
    <row r="210" spans="1:8" ht="14.25" customHeight="1">
      <c r="A210" s="18"/>
      <c r="B210" s="18"/>
      <c r="C210" s="18"/>
      <c r="D210" s="18"/>
      <c r="E210" s="18"/>
      <c r="F210" s="18"/>
      <c r="G210" s="18"/>
      <c r="H210" s="18"/>
    </row>
    <row r="211" spans="1:8" ht="14.25" customHeight="1">
      <c r="A211" s="18"/>
      <c r="B211" s="18"/>
      <c r="C211" s="18"/>
      <c r="D211" s="18"/>
      <c r="E211" s="18"/>
      <c r="F211" s="18"/>
      <c r="G211" s="18"/>
      <c r="H211" s="18"/>
    </row>
    <row r="212" spans="1:8" ht="14.25" customHeight="1">
      <c r="A212" s="18"/>
      <c r="B212" s="18"/>
      <c r="C212" s="18"/>
      <c r="D212" s="18"/>
      <c r="E212" s="18"/>
      <c r="F212" s="18"/>
      <c r="G212" s="18"/>
      <c r="H212" s="18"/>
    </row>
    <row r="213" spans="1:8" ht="14.25" customHeight="1">
      <c r="A213" s="18"/>
      <c r="B213" s="18"/>
      <c r="C213" s="18"/>
      <c r="D213" s="18"/>
      <c r="E213" s="18"/>
      <c r="F213" s="18"/>
      <c r="G213" s="18"/>
      <c r="H213" s="18"/>
    </row>
    <row r="214" spans="1:8" ht="14.25" customHeight="1">
      <c r="A214" s="18"/>
      <c r="B214" s="18"/>
      <c r="C214" s="18"/>
      <c r="D214" s="18"/>
      <c r="E214" s="18"/>
      <c r="F214" s="18"/>
      <c r="G214" s="18"/>
      <c r="H214" s="18"/>
    </row>
    <row r="215" spans="1:8" ht="14.25" customHeight="1">
      <c r="A215" s="18"/>
      <c r="B215" s="18"/>
      <c r="C215" s="18"/>
      <c r="D215" s="18"/>
      <c r="E215" s="18"/>
      <c r="F215" s="18"/>
      <c r="G215" s="18"/>
      <c r="H215" s="18"/>
    </row>
    <row r="216" spans="1:8" ht="14.25" customHeight="1">
      <c r="A216" s="18"/>
      <c r="B216" s="18"/>
      <c r="C216" s="18"/>
      <c r="D216" s="18"/>
      <c r="E216" s="18"/>
      <c r="F216" s="18"/>
      <c r="G216" s="18"/>
      <c r="H216" s="18"/>
    </row>
    <row r="217" spans="1:8" ht="14.25" customHeight="1">
      <c r="A217" s="18"/>
      <c r="B217" s="18"/>
      <c r="C217" s="18"/>
      <c r="D217" s="18"/>
      <c r="E217" s="18"/>
      <c r="F217" s="18"/>
      <c r="G217" s="18"/>
      <c r="H217" s="18"/>
    </row>
    <row r="218" spans="1:8" ht="14.25" customHeight="1">
      <c r="A218" s="18"/>
      <c r="B218" s="18"/>
      <c r="C218" s="18"/>
      <c r="D218" s="18"/>
      <c r="E218" s="18"/>
      <c r="F218" s="18"/>
      <c r="G218" s="18"/>
      <c r="H218" s="18"/>
    </row>
    <row r="219" spans="1:8" ht="14.25" customHeight="1">
      <c r="A219" s="18"/>
      <c r="B219" s="18"/>
      <c r="C219" s="18"/>
      <c r="D219" s="18"/>
      <c r="E219" s="18"/>
      <c r="F219" s="18"/>
      <c r="G219" s="18"/>
      <c r="H219" s="18"/>
    </row>
    <row r="220" spans="1:8" ht="14.25" customHeight="1">
      <c r="A220" s="18"/>
      <c r="B220" s="18"/>
      <c r="C220" s="18"/>
      <c r="D220" s="18"/>
      <c r="E220" s="18"/>
      <c r="F220" s="18"/>
      <c r="G220" s="18"/>
      <c r="H220" s="18"/>
    </row>
    <row r="221" spans="1:8" ht="14.25" customHeight="1">
      <c r="A221" s="18"/>
      <c r="B221" s="18"/>
      <c r="C221" s="18"/>
      <c r="D221" s="18"/>
      <c r="E221" s="18"/>
      <c r="F221" s="18"/>
      <c r="G221" s="18"/>
      <c r="H221" s="18"/>
    </row>
    <row r="222" spans="1:8" ht="14.25" customHeight="1">
      <c r="A222" s="18"/>
      <c r="B222" s="18"/>
      <c r="C222" s="18"/>
      <c r="D222" s="18"/>
      <c r="E222" s="18"/>
      <c r="F222" s="18"/>
      <c r="G222" s="18"/>
      <c r="H222" s="18"/>
    </row>
    <row r="223" spans="1:8" ht="14.25" customHeight="1">
      <c r="A223" s="18"/>
      <c r="B223" s="18"/>
      <c r="C223" s="18"/>
      <c r="D223" s="18"/>
      <c r="E223" s="18"/>
      <c r="F223" s="18"/>
      <c r="G223" s="18"/>
      <c r="H223" s="18"/>
    </row>
    <row r="224" spans="1:8" ht="14.25" customHeight="1">
      <c r="A224" s="18"/>
      <c r="B224" s="18"/>
      <c r="C224" s="18"/>
      <c r="D224" s="18"/>
      <c r="E224" s="18"/>
      <c r="F224" s="18"/>
      <c r="G224" s="18"/>
      <c r="H224" s="18"/>
    </row>
    <row r="225" spans="1:8" ht="14.25" customHeight="1">
      <c r="A225" s="18"/>
      <c r="B225" s="18"/>
      <c r="C225" s="18"/>
      <c r="D225" s="18"/>
      <c r="E225" s="18"/>
      <c r="F225" s="18"/>
      <c r="G225" s="18"/>
      <c r="H225" s="18"/>
    </row>
    <row r="226" spans="1:8" ht="14.25" customHeight="1">
      <c r="A226" s="18"/>
      <c r="B226" s="18"/>
      <c r="C226" s="18"/>
      <c r="D226" s="18"/>
      <c r="E226" s="18"/>
      <c r="F226" s="18"/>
      <c r="G226" s="18"/>
      <c r="H226" s="18"/>
    </row>
    <row r="227" spans="1:8" ht="14.25" customHeight="1">
      <c r="A227" s="18"/>
      <c r="B227" s="18"/>
      <c r="C227" s="18"/>
      <c r="D227" s="18"/>
      <c r="E227" s="18"/>
      <c r="F227" s="18"/>
      <c r="G227" s="18"/>
      <c r="H227" s="18"/>
    </row>
    <row r="228" spans="1:8" ht="14.25" customHeight="1">
      <c r="A228" s="18"/>
      <c r="B228" s="18"/>
      <c r="C228" s="18"/>
      <c r="D228" s="18"/>
      <c r="E228" s="18"/>
      <c r="F228" s="18"/>
      <c r="G228" s="18"/>
      <c r="H228" s="18"/>
    </row>
    <row r="229" spans="1:8" ht="14.25" customHeight="1">
      <c r="A229" s="18"/>
      <c r="B229" s="18"/>
      <c r="C229" s="18"/>
      <c r="D229" s="18"/>
      <c r="E229" s="18"/>
      <c r="F229" s="18"/>
      <c r="G229" s="18"/>
      <c r="H229" s="18"/>
    </row>
    <row r="230" spans="1:8" ht="14.25" customHeight="1">
      <c r="A230" s="18"/>
      <c r="B230" s="18"/>
      <c r="C230" s="18"/>
      <c r="D230" s="18"/>
      <c r="E230" s="18"/>
      <c r="F230" s="18"/>
      <c r="G230" s="18"/>
      <c r="H230" s="18"/>
    </row>
    <row r="231" spans="1:8" ht="14.25" customHeight="1">
      <c r="A231" s="18"/>
      <c r="B231" s="18"/>
      <c r="C231" s="18"/>
      <c r="D231" s="18"/>
      <c r="E231" s="18"/>
      <c r="F231" s="18"/>
      <c r="G231" s="18"/>
      <c r="H231" s="18"/>
    </row>
    <row r="232" spans="1:8" ht="14.25" customHeight="1">
      <c r="A232" s="18"/>
      <c r="B232" s="18"/>
      <c r="C232" s="18"/>
      <c r="D232" s="18"/>
      <c r="E232" s="18"/>
      <c r="F232" s="18"/>
      <c r="G232" s="18"/>
      <c r="H232" s="18"/>
    </row>
    <row r="233" spans="1:8" ht="14.25" customHeight="1">
      <c r="A233" s="18"/>
      <c r="B233" s="18"/>
      <c r="C233" s="18"/>
      <c r="D233" s="18"/>
      <c r="E233" s="18"/>
      <c r="F233" s="18"/>
      <c r="G233" s="18"/>
      <c r="H233" s="18"/>
    </row>
    <row r="234" spans="1:8" ht="14.25" customHeight="1">
      <c r="A234" s="18"/>
      <c r="B234" s="18"/>
      <c r="C234" s="18"/>
      <c r="D234" s="18"/>
      <c r="E234" s="18"/>
      <c r="F234" s="18"/>
      <c r="G234" s="18"/>
      <c r="H234" s="18"/>
    </row>
    <row r="235" spans="1:8" ht="14.25" customHeight="1">
      <c r="A235" s="18"/>
      <c r="B235" s="18"/>
      <c r="C235" s="18"/>
      <c r="D235" s="18"/>
      <c r="E235" s="18"/>
      <c r="F235" s="18"/>
      <c r="G235" s="18"/>
      <c r="H235" s="18"/>
    </row>
    <row r="236" spans="1:8" ht="14.25" customHeight="1">
      <c r="A236" s="18"/>
      <c r="B236" s="18"/>
      <c r="C236" s="18"/>
      <c r="D236" s="18"/>
      <c r="E236" s="18"/>
      <c r="F236" s="18"/>
      <c r="G236" s="18"/>
      <c r="H236" s="18"/>
    </row>
    <row r="237" spans="1:8" ht="14.25" customHeight="1">
      <c r="A237" s="18"/>
      <c r="B237" s="18"/>
      <c r="C237" s="18"/>
      <c r="D237" s="18"/>
      <c r="E237" s="18"/>
      <c r="F237" s="18"/>
      <c r="G237" s="18"/>
      <c r="H237" s="18"/>
    </row>
    <row r="238" spans="1:8" ht="14.25" customHeight="1">
      <c r="A238" s="18"/>
      <c r="B238" s="18"/>
      <c r="C238" s="18"/>
      <c r="D238" s="18"/>
      <c r="E238" s="18"/>
      <c r="F238" s="18"/>
      <c r="G238" s="18"/>
      <c r="H238" s="18"/>
    </row>
    <row r="239" spans="1:8" ht="14.25" customHeight="1">
      <c r="A239" s="18"/>
      <c r="B239" s="18"/>
      <c r="C239" s="18"/>
      <c r="D239" s="18"/>
      <c r="E239" s="18"/>
      <c r="F239" s="18"/>
      <c r="G239" s="18"/>
      <c r="H239" s="18"/>
    </row>
    <row r="240" spans="1:8" ht="14.25" customHeight="1">
      <c r="A240" s="18"/>
      <c r="B240" s="18"/>
      <c r="C240" s="18"/>
      <c r="D240" s="18"/>
      <c r="E240" s="18"/>
      <c r="F240" s="18"/>
      <c r="G240" s="18"/>
      <c r="H240" s="18"/>
    </row>
    <row r="241" spans="1:8" ht="14.25" customHeight="1">
      <c r="A241" s="18"/>
      <c r="B241" s="18"/>
      <c r="C241" s="18"/>
      <c r="D241" s="18"/>
      <c r="E241" s="18"/>
      <c r="F241" s="18"/>
      <c r="G241" s="18"/>
      <c r="H241" s="18"/>
    </row>
    <row r="242" spans="1:8" ht="14.25" customHeight="1">
      <c r="A242" s="18"/>
      <c r="B242" s="18"/>
      <c r="C242" s="18"/>
      <c r="D242" s="18"/>
      <c r="E242" s="18"/>
      <c r="F242" s="18"/>
      <c r="G242" s="18"/>
      <c r="H242" s="18"/>
    </row>
    <row r="243" spans="1:8" ht="14.25" customHeight="1">
      <c r="A243" s="18"/>
      <c r="B243" s="18"/>
      <c r="C243" s="18"/>
      <c r="D243" s="18"/>
      <c r="E243" s="18"/>
      <c r="F243" s="18"/>
      <c r="G243" s="18"/>
      <c r="H243" s="18"/>
    </row>
    <row r="244" spans="1:8" ht="14.25" customHeight="1">
      <c r="A244" s="18"/>
      <c r="B244" s="18"/>
      <c r="C244" s="18"/>
      <c r="D244" s="18"/>
      <c r="E244" s="18"/>
      <c r="F244" s="18"/>
      <c r="G244" s="18"/>
      <c r="H244" s="18"/>
    </row>
    <row r="245" spans="1:8" ht="14.25" customHeight="1">
      <c r="A245" s="18"/>
      <c r="B245" s="18"/>
      <c r="C245" s="18"/>
      <c r="D245" s="18"/>
      <c r="E245" s="18"/>
      <c r="F245" s="18"/>
      <c r="G245" s="18"/>
      <c r="H245" s="18"/>
    </row>
    <row r="246" spans="1:8" ht="14.25" customHeight="1">
      <c r="A246" s="18"/>
      <c r="B246" s="18"/>
      <c r="C246" s="18"/>
      <c r="D246" s="18"/>
      <c r="E246" s="18"/>
      <c r="F246" s="18"/>
      <c r="G246" s="18"/>
      <c r="H246" s="18"/>
    </row>
    <row r="247" spans="1:8" ht="14.25" customHeight="1">
      <c r="A247" s="18"/>
      <c r="B247" s="18"/>
      <c r="C247" s="18"/>
      <c r="D247" s="18"/>
      <c r="E247" s="18"/>
      <c r="F247" s="18"/>
      <c r="G247" s="18"/>
      <c r="H247" s="18"/>
    </row>
    <row r="248" spans="1:8" ht="14.25" customHeight="1">
      <c r="A248" s="18"/>
      <c r="B248" s="18"/>
      <c r="C248" s="18"/>
      <c r="D248" s="18"/>
      <c r="E248" s="18"/>
      <c r="F248" s="18"/>
      <c r="G248" s="18"/>
      <c r="H248" s="18"/>
    </row>
    <row r="249" spans="1:8" ht="14.25" customHeight="1">
      <c r="A249" s="18"/>
      <c r="B249" s="18"/>
      <c r="C249" s="18"/>
      <c r="D249" s="18"/>
      <c r="E249" s="18"/>
      <c r="F249" s="18"/>
      <c r="G249" s="18"/>
      <c r="H249" s="18"/>
    </row>
    <row r="250" spans="1:8" ht="14.25" customHeight="1">
      <c r="A250" s="18"/>
      <c r="B250" s="18"/>
      <c r="C250" s="18"/>
      <c r="D250" s="18"/>
      <c r="E250" s="18"/>
      <c r="F250" s="18"/>
      <c r="G250" s="18"/>
      <c r="H250" s="18"/>
    </row>
    <row r="251" spans="1:8" ht="14.25" customHeight="1">
      <c r="A251" s="18"/>
      <c r="B251" s="18"/>
      <c r="C251" s="18"/>
      <c r="D251" s="18"/>
      <c r="E251" s="18"/>
      <c r="F251" s="18"/>
      <c r="G251" s="18"/>
      <c r="H251" s="18"/>
    </row>
    <row r="252" spans="1:8" ht="14.25" customHeight="1">
      <c r="A252" s="18"/>
      <c r="B252" s="18"/>
      <c r="C252" s="18"/>
      <c r="D252" s="18"/>
      <c r="E252" s="18"/>
      <c r="F252" s="18"/>
      <c r="G252" s="18"/>
      <c r="H252" s="18"/>
    </row>
    <row r="253" spans="1:8" ht="14.25" customHeight="1">
      <c r="A253" s="18"/>
      <c r="B253" s="18"/>
      <c r="C253" s="18"/>
      <c r="D253" s="18"/>
      <c r="E253" s="18"/>
      <c r="F253" s="18"/>
      <c r="G253" s="18"/>
      <c r="H253" s="18"/>
    </row>
    <row r="254" spans="1:8" ht="14.25" customHeight="1">
      <c r="A254" s="18"/>
      <c r="B254" s="18"/>
      <c r="C254" s="18"/>
      <c r="D254" s="18"/>
      <c r="E254" s="18"/>
      <c r="F254" s="18"/>
      <c r="G254" s="18"/>
      <c r="H254" s="18"/>
    </row>
    <row r="255" spans="1:8" ht="14.25" customHeight="1">
      <c r="A255" s="18"/>
      <c r="B255" s="18"/>
      <c r="C255" s="18"/>
      <c r="D255" s="18"/>
      <c r="E255" s="18"/>
      <c r="F255" s="18"/>
      <c r="G255" s="18"/>
      <c r="H255" s="18"/>
    </row>
    <row r="256" spans="1:8" ht="14.25" customHeight="1">
      <c r="A256" s="18"/>
      <c r="B256" s="18"/>
      <c r="C256" s="18"/>
      <c r="D256" s="18"/>
      <c r="E256" s="18"/>
      <c r="F256" s="18"/>
      <c r="G256" s="18"/>
      <c r="H256" s="18"/>
    </row>
    <row r="257" spans="1:8" ht="14.25" customHeight="1">
      <c r="A257" s="18"/>
      <c r="B257" s="18"/>
      <c r="C257" s="18"/>
      <c r="D257" s="18"/>
      <c r="E257" s="18"/>
      <c r="F257" s="18"/>
      <c r="G257" s="18"/>
      <c r="H257" s="18"/>
    </row>
    <row r="258" spans="1:8" ht="14.25" customHeight="1">
      <c r="A258" s="18"/>
      <c r="B258" s="18"/>
      <c r="C258" s="18"/>
      <c r="D258" s="18"/>
      <c r="E258" s="18"/>
      <c r="F258" s="18"/>
      <c r="G258" s="18"/>
      <c r="H258" s="18"/>
    </row>
    <row r="259" spans="1:8" ht="14.25" customHeight="1">
      <c r="A259" s="18"/>
      <c r="B259" s="18"/>
      <c r="C259" s="18"/>
      <c r="D259" s="18"/>
      <c r="E259" s="18"/>
      <c r="F259" s="18"/>
      <c r="G259" s="18"/>
      <c r="H259" s="18"/>
    </row>
    <row r="260" spans="1:8" ht="14.25" customHeight="1">
      <c r="A260" s="18"/>
      <c r="B260" s="18"/>
      <c r="C260" s="18"/>
      <c r="D260" s="18"/>
      <c r="E260" s="18"/>
      <c r="F260" s="18"/>
      <c r="G260" s="18"/>
      <c r="H260" s="18"/>
    </row>
    <row r="261" spans="1:8" ht="14.25" customHeight="1">
      <c r="A261" s="18"/>
      <c r="B261" s="18"/>
      <c r="C261" s="18"/>
      <c r="D261" s="18"/>
      <c r="E261" s="18"/>
      <c r="F261" s="18"/>
      <c r="G261" s="18"/>
      <c r="H261" s="18"/>
    </row>
    <row r="262" spans="1:8" ht="14.25" customHeight="1">
      <c r="A262" s="18"/>
      <c r="B262" s="18"/>
      <c r="C262" s="18"/>
      <c r="D262" s="18"/>
      <c r="E262" s="18"/>
      <c r="F262" s="18"/>
      <c r="G262" s="18"/>
      <c r="H262" s="18"/>
    </row>
    <row r="263" spans="1:8" ht="14.25" customHeight="1">
      <c r="A263" s="18"/>
      <c r="B263" s="18"/>
      <c r="C263" s="18"/>
      <c r="D263" s="18"/>
      <c r="E263" s="18"/>
      <c r="F263" s="18"/>
      <c r="G263" s="18"/>
      <c r="H263" s="18"/>
    </row>
    <row r="264" spans="1:8" ht="14.25" customHeight="1">
      <c r="A264" s="18"/>
      <c r="B264" s="18"/>
      <c r="C264" s="18"/>
      <c r="D264" s="18"/>
      <c r="E264" s="18"/>
      <c r="F264" s="18"/>
      <c r="G264" s="18"/>
      <c r="H264" s="18"/>
    </row>
    <row r="265" spans="1:8" ht="14.25" customHeight="1">
      <c r="A265" s="18"/>
      <c r="B265" s="18"/>
      <c r="C265" s="18"/>
      <c r="D265" s="18"/>
      <c r="E265" s="18"/>
      <c r="F265" s="18"/>
      <c r="G265" s="18"/>
      <c r="H265" s="18"/>
    </row>
    <row r="266" spans="1:8" ht="14.25" customHeight="1">
      <c r="A266" s="18"/>
      <c r="B266" s="18"/>
      <c r="C266" s="18"/>
      <c r="D266" s="18"/>
      <c r="E266" s="18"/>
      <c r="F266" s="18"/>
      <c r="G266" s="18"/>
      <c r="H266" s="18"/>
    </row>
    <row r="267" spans="1:8" ht="14.25" customHeight="1">
      <c r="A267" s="18"/>
      <c r="B267" s="18"/>
      <c r="C267" s="18"/>
      <c r="D267" s="18"/>
      <c r="E267" s="18"/>
      <c r="F267" s="18"/>
      <c r="G267" s="18"/>
      <c r="H267" s="18"/>
    </row>
    <row r="268" spans="1:8" ht="14.25" customHeight="1">
      <c r="A268" s="18"/>
      <c r="B268" s="18"/>
      <c r="C268" s="18"/>
      <c r="D268" s="18"/>
      <c r="E268" s="18"/>
      <c r="F268" s="18"/>
      <c r="G268" s="18"/>
      <c r="H268" s="18"/>
    </row>
    <row r="269" spans="1:8" ht="14.25" customHeight="1">
      <c r="A269" s="18"/>
      <c r="B269" s="18"/>
      <c r="C269" s="18"/>
      <c r="D269" s="18"/>
      <c r="E269" s="18"/>
      <c r="F269" s="18"/>
      <c r="G269" s="18"/>
      <c r="H269" s="18"/>
    </row>
    <row r="270" spans="1:8" ht="14.25" customHeight="1">
      <c r="A270" s="18"/>
      <c r="B270" s="18"/>
      <c r="C270" s="18"/>
      <c r="D270" s="18"/>
      <c r="E270" s="18"/>
      <c r="F270" s="18"/>
      <c r="G270" s="18"/>
      <c r="H270" s="18"/>
    </row>
    <row r="271" spans="1:8" ht="14.25" customHeight="1">
      <c r="A271" s="18"/>
      <c r="B271" s="18"/>
      <c r="C271" s="18"/>
      <c r="D271" s="18"/>
      <c r="E271" s="18"/>
      <c r="F271" s="18"/>
      <c r="G271" s="18"/>
      <c r="H271" s="18"/>
    </row>
    <row r="272" spans="1:8" ht="14.25" customHeight="1">
      <c r="A272" s="18"/>
      <c r="B272" s="18"/>
      <c r="C272" s="18"/>
      <c r="D272" s="18"/>
      <c r="E272" s="18"/>
      <c r="F272" s="18"/>
      <c r="G272" s="18"/>
      <c r="H272" s="18"/>
    </row>
    <row r="273" spans="1:8" ht="14.25" customHeight="1">
      <c r="A273" s="18"/>
      <c r="B273" s="18"/>
      <c r="C273" s="18"/>
      <c r="D273" s="18"/>
      <c r="E273" s="18"/>
      <c r="F273" s="18"/>
      <c r="G273" s="18"/>
      <c r="H273" s="18"/>
    </row>
    <row r="274" spans="1:8" ht="14.25" customHeight="1">
      <c r="A274" s="18"/>
      <c r="B274" s="18"/>
      <c r="C274" s="18"/>
      <c r="D274" s="18"/>
      <c r="E274" s="18"/>
      <c r="F274" s="18"/>
      <c r="G274" s="18"/>
      <c r="H274" s="18"/>
    </row>
    <row r="275" spans="1:8" ht="14.25" customHeight="1">
      <c r="A275" s="18"/>
      <c r="B275" s="18"/>
      <c r="C275" s="18"/>
      <c r="D275" s="18"/>
      <c r="E275" s="18"/>
      <c r="F275" s="18"/>
      <c r="G275" s="18"/>
      <c r="H275" s="18"/>
    </row>
    <row r="276" spans="1:8" ht="14.25" customHeight="1">
      <c r="A276" s="18"/>
      <c r="B276" s="18"/>
      <c r="C276" s="18"/>
      <c r="D276" s="18"/>
      <c r="E276" s="18"/>
      <c r="F276" s="18"/>
      <c r="G276" s="18"/>
      <c r="H276" s="18"/>
    </row>
    <row r="277" spans="1:8" ht="14.25" customHeight="1">
      <c r="A277" s="18"/>
      <c r="B277" s="18"/>
      <c r="C277" s="18"/>
      <c r="D277" s="18"/>
      <c r="E277" s="18"/>
      <c r="F277" s="18"/>
      <c r="G277" s="18"/>
      <c r="H277" s="18"/>
    </row>
    <row r="278" spans="1:8" ht="14.25" customHeight="1">
      <c r="A278" s="18"/>
      <c r="B278" s="18"/>
      <c r="C278" s="18"/>
      <c r="D278" s="18"/>
      <c r="E278" s="18"/>
      <c r="F278" s="18"/>
      <c r="G278" s="18"/>
      <c r="H278" s="18"/>
    </row>
    <row r="279" spans="1:8" ht="14.25" customHeight="1">
      <c r="A279" s="18"/>
      <c r="B279" s="18"/>
      <c r="C279" s="18"/>
      <c r="D279" s="18"/>
      <c r="E279" s="18"/>
      <c r="F279" s="18"/>
      <c r="G279" s="18"/>
      <c r="H279" s="18"/>
    </row>
    <row r="280" spans="1:8" ht="14.25" customHeight="1">
      <c r="A280" s="18"/>
      <c r="B280" s="18"/>
      <c r="C280" s="18"/>
      <c r="D280" s="18"/>
      <c r="E280" s="18"/>
      <c r="F280" s="18"/>
      <c r="G280" s="18"/>
      <c r="H280" s="18"/>
    </row>
    <row r="281" spans="1:8" ht="14.25" customHeight="1">
      <c r="A281" s="18"/>
      <c r="B281" s="18"/>
      <c r="C281" s="18"/>
      <c r="D281" s="18"/>
      <c r="E281" s="18"/>
      <c r="F281" s="18"/>
      <c r="G281" s="18"/>
      <c r="H281" s="18"/>
    </row>
    <row r="282" spans="1:8" ht="14.25" customHeight="1">
      <c r="A282" s="18"/>
      <c r="B282" s="18"/>
      <c r="C282" s="18"/>
      <c r="D282" s="18"/>
      <c r="E282" s="18"/>
      <c r="F282" s="18"/>
      <c r="G282" s="18"/>
      <c r="H282" s="18"/>
    </row>
    <row r="283" spans="1:8" ht="14.25" customHeight="1">
      <c r="A283" s="18"/>
      <c r="B283" s="18"/>
      <c r="C283" s="18"/>
      <c r="D283" s="18"/>
      <c r="E283" s="18"/>
      <c r="F283" s="18"/>
      <c r="G283" s="18"/>
      <c r="H283" s="18"/>
    </row>
    <row r="284" spans="1:8" ht="14.25" customHeight="1">
      <c r="A284" s="18"/>
      <c r="B284" s="18"/>
      <c r="C284" s="18"/>
      <c r="D284" s="18"/>
      <c r="E284" s="18"/>
      <c r="F284" s="18"/>
      <c r="G284" s="18"/>
      <c r="H284" s="18"/>
    </row>
    <row r="285" spans="1:8" ht="14.25" customHeight="1">
      <c r="A285" s="18"/>
      <c r="B285" s="18"/>
      <c r="C285" s="18"/>
      <c r="D285" s="18"/>
      <c r="E285" s="18"/>
      <c r="F285" s="18"/>
      <c r="G285" s="18"/>
      <c r="H285" s="18"/>
    </row>
    <row r="286" spans="1:8" ht="14.25" customHeight="1">
      <c r="A286" s="18"/>
      <c r="B286" s="18"/>
      <c r="C286" s="18"/>
      <c r="D286" s="18"/>
      <c r="E286" s="18"/>
      <c r="F286" s="18"/>
      <c r="G286" s="18"/>
      <c r="H286" s="18"/>
    </row>
    <row r="287" spans="1:8" ht="14.25" customHeight="1">
      <c r="A287" s="18"/>
      <c r="B287" s="18"/>
      <c r="C287" s="18"/>
      <c r="D287" s="18"/>
      <c r="E287" s="18"/>
      <c r="F287" s="18"/>
      <c r="G287" s="18"/>
      <c r="H287" s="18"/>
    </row>
    <row r="288" spans="1:8" ht="14.25" customHeight="1">
      <c r="A288" s="18"/>
      <c r="B288" s="18"/>
      <c r="C288" s="18"/>
      <c r="D288" s="18"/>
      <c r="E288" s="18"/>
      <c r="F288" s="18"/>
      <c r="G288" s="18"/>
      <c r="H288" s="18"/>
    </row>
    <row r="289" spans="1:8" ht="14.25" customHeight="1">
      <c r="A289" s="18"/>
      <c r="B289" s="18"/>
      <c r="C289" s="18"/>
      <c r="D289" s="18"/>
      <c r="E289" s="18"/>
      <c r="F289" s="18"/>
      <c r="G289" s="18"/>
      <c r="H289" s="18"/>
    </row>
    <row r="290" spans="1:8" ht="14.25" customHeight="1">
      <c r="A290" s="18"/>
      <c r="B290" s="18"/>
      <c r="C290" s="18"/>
      <c r="D290" s="18"/>
      <c r="E290" s="18"/>
      <c r="F290" s="18"/>
      <c r="G290" s="18"/>
      <c r="H290" s="18"/>
    </row>
    <row r="291" spans="1:8" ht="14.25" customHeight="1">
      <c r="A291" s="18"/>
      <c r="B291" s="18"/>
      <c r="C291" s="18"/>
      <c r="D291" s="18"/>
      <c r="E291" s="18"/>
      <c r="F291" s="18"/>
      <c r="G291" s="18"/>
      <c r="H291" s="18"/>
    </row>
    <row r="292" spans="1:8" ht="14.25" customHeight="1">
      <c r="A292" s="18"/>
      <c r="B292" s="18"/>
      <c r="C292" s="18"/>
      <c r="D292" s="18"/>
      <c r="E292" s="18"/>
      <c r="F292" s="18"/>
      <c r="G292" s="18"/>
      <c r="H292" s="18"/>
    </row>
    <row r="293" spans="1:8" ht="14.25" customHeight="1">
      <c r="A293" s="18"/>
      <c r="B293" s="18"/>
      <c r="C293" s="18"/>
      <c r="D293" s="18"/>
      <c r="E293" s="18"/>
      <c r="F293" s="18"/>
      <c r="G293" s="18"/>
      <c r="H293" s="18"/>
    </row>
    <row r="294" spans="1:8" ht="14.25" customHeight="1">
      <c r="A294" s="18"/>
      <c r="B294" s="18"/>
      <c r="C294" s="18"/>
      <c r="D294" s="18"/>
      <c r="E294" s="18"/>
      <c r="F294" s="18"/>
      <c r="G294" s="18"/>
      <c r="H294" s="18"/>
    </row>
    <row r="295" spans="1:8" ht="14.25" customHeight="1">
      <c r="A295" s="18"/>
      <c r="B295" s="18"/>
      <c r="C295" s="18"/>
      <c r="D295" s="18"/>
      <c r="E295" s="18"/>
      <c r="F295" s="18"/>
      <c r="G295" s="18"/>
      <c r="H295" s="18"/>
    </row>
    <row r="296" spans="1:8" ht="14.25" customHeight="1">
      <c r="A296" s="18"/>
      <c r="B296" s="18"/>
      <c r="C296" s="18"/>
      <c r="D296" s="18"/>
      <c r="E296" s="18"/>
      <c r="F296" s="18"/>
      <c r="G296" s="18"/>
      <c r="H296" s="18"/>
    </row>
    <row r="297" spans="1:8" ht="14.25" customHeight="1">
      <c r="A297" s="18"/>
      <c r="B297" s="18"/>
      <c r="C297" s="18"/>
      <c r="D297" s="18"/>
      <c r="E297" s="18"/>
      <c r="F297" s="18"/>
      <c r="G297" s="18"/>
      <c r="H297" s="18"/>
    </row>
    <row r="298" spans="1:8" ht="14.25" customHeight="1">
      <c r="A298" s="18"/>
      <c r="B298" s="18"/>
      <c r="C298" s="18"/>
      <c r="D298" s="18"/>
      <c r="E298" s="18"/>
      <c r="F298" s="18"/>
      <c r="G298" s="18"/>
      <c r="H298" s="18"/>
    </row>
    <row r="299" spans="1:8" ht="14.25" customHeight="1">
      <c r="A299" s="18"/>
      <c r="B299" s="18"/>
      <c r="C299" s="18"/>
      <c r="D299" s="18"/>
      <c r="E299" s="18"/>
      <c r="F299" s="18"/>
      <c r="G299" s="18"/>
      <c r="H299" s="18"/>
    </row>
    <row r="300" spans="1:8" ht="14.25" customHeight="1">
      <c r="A300" s="18"/>
      <c r="B300" s="18"/>
      <c r="C300" s="18"/>
      <c r="D300" s="18"/>
      <c r="E300" s="18"/>
      <c r="F300" s="18"/>
      <c r="G300" s="18"/>
      <c r="H300" s="18"/>
    </row>
    <row r="301" spans="1:8" ht="14.25" customHeight="1">
      <c r="A301" s="18"/>
      <c r="B301" s="18"/>
      <c r="C301" s="18"/>
      <c r="D301" s="18"/>
      <c r="E301" s="18"/>
      <c r="F301" s="18"/>
      <c r="G301" s="18"/>
      <c r="H301" s="18"/>
    </row>
    <row r="302" spans="1:8" ht="14.25" customHeight="1">
      <c r="A302" s="18"/>
      <c r="B302" s="18"/>
      <c r="C302" s="18"/>
      <c r="D302" s="18"/>
      <c r="E302" s="18"/>
      <c r="F302" s="18"/>
      <c r="G302" s="18"/>
      <c r="H302" s="18"/>
    </row>
    <row r="303" spans="1:8" ht="14.25" customHeight="1">
      <c r="A303" s="18"/>
      <c r="B303" s="18"/>
      <c r="C303" s="18"/>
      <c r="D303" s="18"/>
      <c r="E303" s="18"/>
      <c r="F303" s="18"/>
      <c r="G303" s="18"/>
      <c r="H303" s="18"/>
    </row>
    <row r="304" spans="1:8" ht="14.25" customHeight="1">
      <c r="A304" s="18"/>
      <c r="B304" s="18"/>
      <c r="C304" s="18"/>
      <c r="D304" s="18"/>
      <c r="E304" s="18"/>
      <c r="F304" s="18"/>
      <c r="G304" s="18"/>
      <c r="H304" s="18"/>
    </row>
    <row r="305" spans="1:8" ht="14.25" customHeight="1">
      <c r="A305" s="18"/>
      <c r="B305" s="18"/>
      <c r="C305" s="18"/>
      <c r="D305" s="18"/>
      <c r="E305" s="18"/>
      <c r="F305" s="18"/>
      <c r="G305" s="18"/>
      <c r="H305" s="18"/>
    </row>
    <row r="306" spans="1:8" ht="14.25" customHeight="1">
      <c r="A306" s="18"/>
      <c r="B306" s="18"/>
      <c r="C306" s="18"/>
      <c r="D306" s="18"/>
      <c r="E306" s="18"/>
      <c r="F306" s="18"/>
      <c r="G306" s="18"/>
      <c r="H306" s="18"/>
    </row>
    <row r="307" spans="1:8" ht="14.25" customHeight="1">
      <c r="A307" s="18"/>
      <c r="B307" s="18"/>
      <c r="C307" s="18"/>
      <c r="D307" s="18"/>
      <c r="E307" s="18"/>
      <c r="F307" s="18"/>
      <c r="G307" s="18"/>
      <c r="H307" s="18"/>
    </row>
    <row r="308" spans="1:8" ht="14.25" customHeight="1">
      <c r="A308" s="18"/>
      <c r="B308" s="18"/>
      <c r="C308" s="18"/>
      <c r="D308" s="18"/>
      <c r="E308" s="18"/>
      <c r="F308" s="18"/>
      <c r="G308" s="18"/>
      <c r="H308" s="18"/>
    </row>
    <row r="309" spans="1:8" ht="14.25" customHeight="1">
      <c r="A309" s="18"/>
      <c r="B309" s="18"/>
      <c r="C309" s="18"/>
      <c r="D309" s="18"/>
      <c r="E309" s="18"/>
      <c r="F309" s="18"/>
      <c r="G309" s="18"/>
      <c r="H309" s="18"/>
    </row>
    <row r="310" spans="1:8" ht="14.25" customHeight="1">
      <c r="A310" s="18"/>
      <c r="B310" s="18"/>
      <c r="C310" s="18"/>
      <c r="D310" s="18"/>
      <c r="E310" s="18"/>
      <c r="F310" s="18"/>
      <c r="G310" s="18"/>
      <c r="H310" s="18"/>
    </row>
    <row r="311" spans="1:8" ht="14.25" customHeight="1">
      <c r="A311" s="18"/>
      <c r="B311" s="18"/>
      <c r="C311" s="18"/>
      <c r="D311" s="18"/>
      <c r="E311" s="18"/>
      <c r="F311" s="18"/>
      <c r="G311" s="18"/>
      <c r="H311" s="18"/>
    </row>
    <row r="312" spans="1:8" ht="14.25" customHeight="1">
      <c r="A312" s="18"/>
      <c r="B312" s="18"/>
      <c r="C312" s="18"/>
      <c r="D312" s="18"/>
      <c r="E312" s="18"/>
      <c r="F312" s="18"/>
      <c r="G312" s="18"/>
      <c r="H312" s="18"/>
    </row>
    <row r="313" spans="1:8" ht="14.25" customHeight="1">
      <c r="A313" s="18"/>
      <c r="B313" s="18"/>
      <c r="C313" s="18"/>
      <c r="D313" s="18"/>
      <c r="E313" s="18"/>
      <c r="F313" s="18"/>
      <c r="G313" s="18"/>
      <c r="H313" s="18"/>
    </row>
    <row r="314" spans="1:8" ht="14.25" customHeight="1">
      <c r="A314" s="18"/>
      <c r="B314" s="18"/>
      <c r="C314" s="18"/>
      <c r="D314" s="18"/>
      <c r="E314" s="18"/>
      <c r="F314" s="18"/>
      <c r="G314" s="18"/>
      <c r="H314" s="18"/>
    </row>
    <row r="315" spans="1:8" ht="14.25" customHeight="1">
      <c r="A315" s="18"/>
      <c r="B315" s="18"/>
      <c r="C315" s="18"/>
      <c r="D315" s="18"/>
      <c r="E315" s="18"/>
      <c r="F315" s="18"/>
      <c r="G315" s="18"/>
      <c r="H315" s="18"/>
    </row>
    <row r="316" spans="1:8" ht="14.25" customHeight="1">
      <c r="A316" s="18"/>
      <c r="B316" s="18"/>
      <c r="C316" s="18"/>
      <c r="D316" s="18"/>
      <c r="E316" s="18"/>
      <c r="F316" s="18"/>
      <c r="G316" s="18"/>
      <c r="H316" s="18"/>
    </row>
    <row r="317" spans="1:8" ht="14.25" customHeight="1">
      <c r="A317" s="18"/>
      <c r="B317" s="18"/>
      <c r="C317" s="18"/>
      <c r="D317" s="18"/>
      <c r="E317" s="18"/>
      <c r="F317" s="18"/>
      <c r="G317" s="18"/>
      <c r="H317" s="18"/>
    </row>
    <row r="318" spans="1:8" ht="14.25" customHeight="1">
      <c r="A318" s="18"/>
      <c r="B318" s="18"/>
      <c r="C318" s="18"/>
      <c r="D318" s="18"/>
      <c r="E318" s="18"/>
      <c r="F318" s="18"/>
      <c r="G318" s="18"/>
      <c r="H318" s="18"/>
    </row>
    <row r="319" spans="1:8" ht="14.25" customHeight="1">
      <c r="A319" s="18"/>
      <c r="B319" s="18"/>
      <c r="C319" s="18"/>
      <c r="D319" s="18"/>
      <c r="E319" s="18"/>
      <c r="F319" s="18"/>
      <c r="G319" s="18"/>
      <c r="H319" s="18"/>
    </row>
    <row r="320" spans="1:8" ht="14.25" customHeight="1">
      <c r="A320" s="18"/>
      <c r="B320" s="18"/>
      <c r="C320" s="18"/>
      <c r="D320" s="18"/>
      <c r="E320" s="18"/>
      <c r="F320" s="18"/>
      <c r="G320" s="18"/>
      <c r="H320" s="18"/>
    </row>
    <row r="321" spans="1:8" ht="14.25" customHeight="1">
      <c r="A321" s="18"/>
      <c r="B321" s="18"/>
      <c r="C321" s="18"/>
      <c r="D321" s="18"/>
      <c r="E321" s="18"/>
      <c r="F321" s="18"/>
      <c r="G321" s="18"/>
      <c r="H321" s="18"/>
    </row>
    <row r="322" spans="1:8" ht="14.25" customHeight="1">
      <c r="A322" s="18"/>
      <c r="B322" s="18"/>
      <c r="C322" s="18"/>
      <c r="D322" s="18"/>
      <c r="E322" s="18"/>
      <c r="F322" s="18"/>
      <c r="G322" s="18"/>
      <c r="H322" s="18"/>
    </row>
    <row r="323" spans="1:8" ht="14.25" customHeight="1">
      <c r="A323" s="18"/>
      <c r="B323" s="18"/>
      <c r="C323" s="18"/>
      <c r="D323" s="18"/>
      <c r="E323" s="18"/>
      <c r="F323" s="18"/>
      <c r="G323" s="18"/>
      <c r="H323" s="18"/>
    </row>
    <row r="324" spans="1:8" ht="14.25" customHeight="1">
      <c r="A324" s="18"/>
      <c r="B324" s="18"/>
      <c r="C324" s="18"/>
      <c r="D324" s="18"/>
      <c r="E324" s="18"/>
      <c r="F324" s="18"/>
      <c r="G324" s="18"/>
      <c r="H324" s="18"/>
    </row>
    <row r="325" spans="1:8" ht="14.25" customHeight="1">
      <c r="A325" s="18"/>
      <c r="B325" s="18"/>
      <c r="C325" s="18"/>
      <c r="D325" s="18"/>
      <c r="E325" s="18"/>
      <c r="F325" s="18"/>
      <c r="G325" s="18"/>
      <c r="H325" s="18"/>
    </row>
    <row r="326" spans="1:8" ht="14.25" customHeight="1">
      <c r="A326" s="18"/>
      <c r="B326" s="18"/>
      <c r="C326" s="18"/>
      <c r="D326" s="18"/>
      <c r="E326" s="18"/>
      <c r="F326" s="18"/>
      <c r="G326" s="18"/>
      <c r="H326" s="18"/>
    </row>
    <row r="327" spans="1:8" ht="14.25" customHeight="1">
      <c r="A327" s="18"/>
      <c r="B327" s="18"/>
      <c r="C327" s="18"/>
      <c r="D327" s="18"/>
      <c r="E327" s="18"/>
      <c r="F327" s="18"/>
      <c r="G327" s="18"/>
      <c r="H327" s="18"/>
    </row>
    <row r="328" spans="1:8" ht="14.25" customHeight="1">
      <c r="A328" s="18"/>
      <c r="B328" s="18"/>
      <c r="C328" s="18"/>
      <c r="D328" s="18"/>
      <c r="E328" s="18"/>
      <c r="F328" s="18"/>
      <c r="G328" s="18"/>
      <c r="H328" s="18"/>
    </row>
    <row r="329" spans="1:8" ht="14.25" customHeight="1">
      <c r="A329" s="18"/>
      <c r="B329" s="18"/>
      <c r="C329" s="18"/>
      <c r="D329" s="18"/>
      <c r="E329" s="18"/>
      <c r="F329" s="18"/>
      <c r="G329" s="18"/>
      <c r="H329" s="18"/>
    </row>
    <row r="330" spans="1:8" ht="14.25" customHeight="1">
      <c r="A330" s="18"/>
      <c r="B330" s="18"/>
      <c r="C330" s="18"/>
      <c r="D330" s="18"/>
      <c r="E330" s="18"/>
      <c r="F330" s="18"/>
      <c r="G330" s="18"/>
      <c r="H330" s="18"/>
    </row>
    <row r="331" spans="1:8" ht="14.25" customHeight="1">
      <c r="A331" s="18"/>
      <c r="B331" s="18"/>
      <c r="C331" s="18"/>
      <c r="D331" s="18"/>
      <c r="E331" s="18"/>
      <c r="F331" s="18"/>
      <c r="G331" s="18"/>
      <c r="H331" s="18"/>
    </row>
    <row r="332" spans="1:8" ht="14.25" customHeight="1">
      <c r="A332" s="18"/>
      <c r="B332" s="18"/>
      <c r="C332" s="18"/>
      <c r="D332" s="18"/>
      <c r="E332" s="18"/>
      <c r="F332" s="18"/>
      <c r="G332" s="18"/>
      <c r="H332" s="18"/>
    </row>
    <row r="333" spans="1:8" ht="14.25" customHeight="1">
      <c r="A333" s="18"/>
      <c r="B333" s="18"/>
      <c r="C333" s="18"/>
      <c r="D333" s="18"/>
      <c r="E333" s="18"/>
      <c r="F333" s="18"/>
      <c r="G333" s="18"/>
      <c r="H333" s="18"/>
    </row>
    <row r="334" spans="1:8" ht="14.25" customHeight="1">
      <c r="A334" s="18"/>
      <c r="B334" s="18"/>
      <c r="C334" s="18"/>
      <c r="D334" s="18"/>
      <c r="E334" s="18"/>
      <c r="F334" s="18"/>
      <c r="G334" s="18"/>
      <c r="H334" s="18"/>
    </row>
    <row r="335" spans="1:8" ht="14.25" customHeight="1">
      <c r="A335" s="18"/>
      <c r="B335" s="18"/>
      <c r="C335" s="18"/>
      <c r="D335" s="18"/>
      <c r="E335" s="18"/>
      <c r="F335" s="18"/>
      <c r="G335" s="18"/>
      <c r="H335" s="18"/>
    </row>
    <row r="336" spans="1:8" ht="14.25" customHeight="1">
      <c r="A336" s="18"/>
      <c r="B336" s="18"/>
      <c r="C336" s="18"/>
      <c r="D336" s="18"/>
      <c r="E336" s="18"/>
      <c r="F336" s="18"/>
      <c r="G336" s="18"/>
      <c r="H336" s="18"/>
    </row>
    <row r="337" spans="1:8" ht="14.25" customHeight="1">
      <c r="A337" s="18"/>
      <c r="B337" s="18"/>
      <c r="C337" s="18"/>
      <c r="D337" s="18"/>
      <c r="E337" s="18"/>
      <c r="F337" s="18"/>
      <c r="G337" s="18"/>
      <c r="H337" s="18"/>
    </row>
    <row r="338" spans="1:8" ht="14.25" customHeight="1">
      <c r="A338" s="18"/>
      <c r="B338" s="18"/>
      <c r="C338" s="18"/>
      <c r="D338" s="18"/>
      <c r="E338" s="18"/>
      <c r="F338" s="18"/>
      <c r="G338" s="18"/>
      <c r="H338" s="18"/>
    </row>
    <row r="339" spans="1:8" ht="14.25" customHeight="1">
      <c r="A339" s="18"/>
      <c r="B339" s="18"/>
      <c r="C339" s="18"/>
      <c r="D339" s="18"/>
      <c r="E339" s="18"/>
      <c r="F339" s="18"/>
      <c r="G339" s="18"/>
      <c r="H339" s="18"/>
    </row>
    <row r="340" spans="1:8" ht="14.25" customHeight="1">
      <c r="A340" s="18"/>
      <c r="B340" s="18"/>
      <c r="C340" s="18"/>
      <c r="D340" s="18"/>
      <c r="E340" s="18"/>
      <c r="F340" s="18"/>
      <c r="G340" s="18"/>
      <c r="H340" s="18"/>
    </row>
    <row r="341" spans="1:8" ht="14.25" customHeight="1">
      <c r="A341" s="18"/>
      <c r="B341" s="18"/>
      <c r="C341" s="18"/>
      <c r="D341" s="18"/>
      <c r="E341" s="18"/>
      <c r="F341" s="18"/>
      <c r="G341" s="18"/>
      <c r="H341" s="18"/>
    </row>
    <row r="342" spans="1:8" ht="14.25" customHeight="1">
      <c r="A342" s="18"/>
      <c r="B342" s="18"/>
      <c r="C342" s="18"/>
      <c r="D342" s="18"/>
      <c r="E342" s="18"/>
      <c r="F342" s="18"/>
      <c r="G342" s="18"/>
      <c r="H342" s="18"/>
    </row>
    <row r="343" spans="1:8" ht="14.25" customHeight="1">
      <c r="A343" s="18"/>
      <c r="B343" s="18"/>
      <c r="C343" s="18"/>
      <c r="D343" s="18"/>
      <c r="E343" s="18"/>
      <c r="F343" s="18"/>
      <c r="G343" s="18"/>
      <c r="H343" s="18"/>
    </row>
    <row r="344" spans="1:8" ht="14.25" customHeight="1">
      <c r="A344" s="18"/>
      <c r="B344" s="18"/>
      <c r="C344" s="18"/>
      <c r="D344" s="18"/>
      <c r="E344" s="18"/>
      <c r="F344" s="18"/>
      <c r="G344" s="18"/>
      <c r="H344" s="18"/>
    </row>
    <row r="345" spans="1:8" ht="14.25" customHeight="1">
      <c r="A345" s="18"/>
      <c r="B345" s="18"/>
      <c r="C345" s="18"/>
      <c r="D345" s="18"/>
      <c r="E345" s="18"/>
      <c r="F345" s="18"/>
      <c r="G345" s="18"/>
      <c r="H345" s="18"/>
    </row>
    <row r="346" spans="1:8" ht="14.25" customHeight="1">
      <c r="A346" s="18"/>
      <c r="B346" s="18"/>
      <c r="C346" s="18"/>
      <c r="D346" s="18"/>
      <c r="E346" s="18"/>
      <c r="F346" s="18"/>
      <c r="G346" s="18"/>
      <c r="H346" s="18"/>
    </row>
    <row r="347" spans="1:8" ht="14.25" customHeight="1">
      <c r="A347" s="18"/>
      <c r="B347" s="18"/>
      <c r="C347" s="18"/>
      <c r="D347" s="18"/>
      <c r="E347" s="18"/>
      <c r="F347" s="18"/>
      <c r="G347" s="18"/>
      <c r="H347" s="18"/>
    </row>
    <row r="348" spans="1:8" ht="14.25" customHeight="1">
      <c r="A348" s="18"/>
      <c r="B348" s="18"/>
      <c r="C348" s="18"/>
      <c r="D348" s="18"/>
      <c r="E348" s="18"/>
      <c r="F348" s="18"/>
      <c r="G348" s="18"/>
      <c r="H348" s="18"/>
    </row>
    <row r="349" spans="1:8" ht="14.25" customHeight="1">
      <c r="A349" s="18"/>
      <c r="B349" s="18"/>
      <c r="C349" s="18"/>
      <c r="D349" s="18"/>
      <c r="E349" s="18"/>
      <c r="F349" s="18"/>
      <c r="G349" s="18"/>
      <c r="H349" s="18"/>
    </row>
    <row r="350" spans="1:8" ht="14.25" customHeight="1">
      <c r="A350" s="18"/>
      <c r="B350" s="18"/>
      <c r="C350" s="18"/>
      <c r="D350" s="18"/>
      <c r="E350" s="18"/>
      <c r="F350" s="18"/>
      <c r="G350" s="18"/>
      <c r="H350" s="18"/>
    </row>
    <row r="351" spans="1:8" ht="14.25" customHeight="1">
      <c r="A351" s="18"/>
      <c r="B351" s="18"/>
      <c r="C351" s="18"/>
      <c r="D351" s="18"/>
      <c r="E351" s="18"/>
      <c r="F351" s="18"/>
      <c r="G351" s="18"/>
      <c r="H351" s="18"/>
    </row>
    <row r="352" spans="1:8" ht="14.25" customHeight="1">
      <c r="A352" s="18"/>
      <c r="B352" s="18"/>
      <c r="C352" s="18"/>
      <c r="D352" s="18"/>
      <c r="E352" s="18"/>
      <c r="F352" s="18"/>
      <c r="G352" s="18"/>
      <c r="H352" s="18"/>
    </row>
    <row r="353" spans="1:8" ht="14.25" customHeight="1">
      <c r="A353" s="18"/>
      <c r="B353" s="18"/>
      <c r="C353" s="18"/>
      <c r="D353" s="18"/>
      <c r="E353" s="18"/>
      <c r="F353" s="18"/>
      <c r="G353" s="18"/>
      <c r="H353" s="18"/>
    </row>
    <row r="354" spans="1:8" ht="14.25" customHeight="1">
      <c r="A354" s="18"/>
      <c r="B354" s="18"/>
      <c r="C354" s="18"/>
      <c r="D354" s="18"/>
      <c r="E354" s="18"/>
      <c r="F354" s="18"/>
      <c r="G354" s="18"/>
      <c r="H354" s="18"/>
    </row>
    <row r="355" spans="1:8" ht="14.25" customHeight="1">
      <c r="A355" s="18"/>
      <c r="B355" s="18"/>
      <c r="C355" s="18"/>
      <c r="D355" s="18"/>
      <c r="E355" s="18"/>
      <c r="F355" s="18"/>
      <c r="G355" s="18"/>
      <c r="H355" s="18"/>
    </row>
    <row r="356" spans="1:8" ht="14.25" customHeight="1">
      <c r="A356" s="18"/>
      <c r="B356" s="18"/>
      <c r="C356" s="18"/>
      <c r="D356" s="18"/>
      <c r="E356" s="18"/>
      <c r="F356" s="18"/>
      <c r="G356" s="18"/>
      <c r="H356" s="18"/>
    </row>
    <row r="357" spans="1:8" ht="14.25" customHeight="1">
      <c r="A357" s="18"/>
      <c r="B357" s="18"/>
      <c r="C357" s="18"/>
      <c r="D357" s="18"/>
      <c r="E357" s="18"/>
      <c r="F357" s="18"/>
      <c r="G357" s="18"/>
      <c r="H357" s="18"/>
    </row>
    <row r="358" spans="1:8" ht="14.25" customHeight="1">
      <c r="A358" s="18"/>
      <c r="B358" s="18"/>
      <c r="C358" s="18"/>
      <c r="D358" s="18"/>
      <c r="E358" s="18"/>
      <c r="F358" s="18"/>
      <c r="G358" s="18"/>
      <c r="H358" s="18"/>
    </row>
    <row r="359" spans="1:8" ht="14.25" customHeight="1">
      <c r="A359" s="18"/>
      <c r="B359" s="18"/>
      <c r="C359" s="18"/>
      <c r="D359" s="18"/>
      <c r="E359" s="18"/>
      <c r="F359" s="18"/>
      <c r="G359" s="18"/>
      <c r="H359" s="18"/>
    </row>
    <row r="360" spans="1:8" ht="14.25" customHeight="1">
      <c r="A360" s="18"/>
      <c r="B360" s="18"/>
      <c r="C360" s="18"/>
      <c r="D360" s="18"/>
      <c r="E360" s="18"/>
      <c r="F360" s="18"/>
      <c r="G360" s="18"/>
      <c r="H360" s="18"/>
    </row>
    <row r="361" spans="1:8" ht="14.25" customHeight="1">
      <c r="A361" s="18"/>
      <c r="B361" s="18"/>
      <c r="C361" s="18"/>
      <c r="D361" s="18"/>
      <c r="E361" s="18"/>
      <c r="F361" s="18"/>
      <c r="G361" s="18"/>
      <c r="H361" s="18"/>
    </row>
    <row r="362" spans="1:8" ht="14.25" customHeight="1">
      <c r="A362" s="18"/>
      <c r="B362" s="18"/>
      <c r="C362" s="18"/>
      <c r="D362" s="18"/>
      <c r="E362" s="18"/>
      <c r="F362" s="18"/>
      <c r="G362" s="18"/>
      <c r="H362" s="18"/>
    </row>
    <row r="363" spans="1:8" ht="14.25" customHeight="1">
      <c r="A363" s="18"/>
      <c r="B363" s="18"/>
      <c r="C363" s="18"/>
      <c r="D363" s="18"/>
      <c r="E363" s="18"/>
      <c r="F363" s="18"/>
      <c r="G363" s="18"/>
      <c r="H363" s="18"/>
    </row>
    <row r="364" spans="1:8" ht="14.25" customHeight="1">
      <c r="A364" s="18"/>
      <c r="B364" s="18"/>
      <c r="C364" s="18"/>
      <c r="D364" s="18"/>
      <c r="E364" s="18"/>
      <c r="F364" s="18"/>
      <c r="G364" s="18"/>
      <c r="H364" s="18"/>
    </row>
    <row r="365" spans="1:8" ht="14.25" customHeight="1">
      <c r="A365" s="18"/>
      <c r="B365" s="18"/>
      <c r="C365" s="18"/>
      <c r="D365" s="18"/>
      <c r="E365" s="18"/>
      <c r="F365" s="18"/>
      <c r="G365" s="18"/>
      <c r="H365" s="18"/>
    </row>
    <row r="366" spans="1:8" ht="14.25" customHeight="1">
      <c r="A366" s="18"/>
      <c r="B366" s="18"/>
      <c r="C366" s="18"/>
      <c r="D366" s="18"/>
      <c r="E366" s="18"/>
      <c r="F366" s="18"/>
      <c r="G366" s="18"/>
      <c r="H366" s="18"/>
    </row>
    <row r="367" spans="1:8" ht="14.25" customHeight="1">
      <c r="A367" s="18"/>
      <c r="B367" s="18"/>
      <c r="C367" s="18"/>
      <c r="D367" s="18"/>
      <c r="E367" s="18"/>
      <c r="F367" s="18"/>
      <c r="G367" s="18"/>
      <c r="H367" s="18"/>
    </row>
    <row r="368" spans="1:8" ht="14.25" customHeight="1">
      <c r="A368" s="18"/>
      <c r="B368" s="18"/>
      <c r="C368" s="18"/>
      <c r="D368" s="18"/>
      <c r="E368" s="18"/>
      <c r="F368" s="18"/>
      <c r="G368" s="18"/>
      <c r="H368" s="18"/>
    </row>
    <row r="369" spans="1:8" ht="14.25" customHeight="1">
      <c r="A369" s="18"/>
      <c r="B369" s="18"/>
      <c r="C369" s="18"/>
      <c r="D369" s="18"/>
      <c r="E369" s="18"/>
      <c r="F369" s="18"/>
      <c r="G369" s="18"/>
      <c r="H369" s="18"/>
    </row>
    <row r="370" spans="1:8" ht="14.25" customHeight="1">
      <c r="A370" s="18"/>
      <c r="B370" s="18"/>
      <c r="C370" s="18"/>
      <c r="D370" s="18"/>
      <c r="E370" s="18"/>
      <c r="F370" s="18"/>
      <c r="G370" s="18"/>
      <c r="H370" s="18"/>
    </row>
    <row r="371" spans="1:8" ht="14.25" customHeight="1">
      <c r="A371" s="18"/>
      <c r="B371" s="18"/>
      <c r="C371" s="18"/>
      <c r="D371" s="18"/>
      <c r="E371" s="18"/>
      <c r="F371" s="18"/>
      <c r="G371" s="18"/>
      <c r="H371" s="18"/>
    </row>
    <row r="372" spans="1:8" ht="14.25" customHeight="1">
      <c r="A372" s="18"/>
      <c r="B372" s="18"/>
      <c r="C372" s="18"/>
      <c r="D372" s="18"/>
      <c r="E372" s="18"/>
      <c r="F372" s="18"/>
      <c r="G372" s="18"/>
      <c r="H372" s="18"/>
    </row>
    <row r="373" spans="1:8" ht="14.25" customHeight="1">
      <c r="A373" s="18"/>
      <c r="B373" s="18"/>
      <c r="C373" s="18"/>
      <c r="D373" s="18"/>
      <c r="E373" s="18"/>
      <c r="F373" s="18"/>
      <c r="G373" s="18"/>
      <c r="H373" s="18"/>
    </row>
    <row r="374" spans="1:8" ht="14.25" customHeight="1">
      <c r="A374" s="18"/>
      <c r="B374" s="18"/>
      <c r="C374" s="18"/>
      <c r="D374" s="18"/>
      <c r="E374" s="18"/>
      <c r="F374" s="18"/>
      <c r="G374" s="18"/>
      <c r="H374" s="18"/>
    </row>
    <row r="375" spans="1:8" ht="14.25" customHeight="1">
      <c r="A375" s="18"/>
      <c r="B375" s="18"/>
      <c r="C375" s="18"/>
      <c r="D375" s="18"/>
      <c r="E375" s="18"/>
      <c r="F375" s="18"/>
      <c r="G375" s="18"/>
      <c r="H375" s="18"/>
    </row>
    <row r="376" spans="1:8" ht="14.25" customHeight="1">
      <c r="A376" s="18"/>
      <c r="B376" s="18"/>
      <c r="C376" s="18"/>
      <c r="D376" s="18"/>
      <c r="E376" s="18"/>
      <c r="F376" s="18"/>
      <c r="G376" s="18"/>
      <c r="H376" s="18"/>
    </row>
    <row r="377" spans="1:8" ht="14.25" customHeight="1">
      <c r="A377" s="18"/>
      <c r="B377" s="18"/>
      <c r="C377" s="18"/>
      <c r="D377" s="18"/>
      <c r="E377" s="18"/>
      <c r="F377" s="18"/>
      <c r="G377" s="18"/>
      <c r="H377" s="18"/>
    </row>
    <row r="378" spans="1:8" ht="14.25" customHeight="1">
      <c r="A378" s="18"/>
      <c r="B378" s="18"/>
      <c r="C378" s="18"/>
      <c r="D378" s="18"/>
      <c r="E378" s="18"/>
      <c r="F378" s="18"/>
      <c r="G378" s="18"/>
      <c r="H378" s="18"/>
    </row>
    <row r="379" spans="1:8" ht="14.25" customHeight="1">
      <c r="A379" s="18"/>
      <c r="B379" s="18"/>
      <c r="C379" s="18"/>
      <c r="D379" s="18"/>
      <c r="E379" s="18"/>
      <c r="F379" s="18"/>
      <c r="G379" s="18"/>
      <c r="H379" s="18"/>
    </row>
    <row r="380" spans="1:8" ht="14.25" customHeight="1">
      <c r="A380" s="18"/>
      <c r="B380" s="18"/>
      <c r="C380" s="18"/>
      <c r="D380" s="18"/>
      <c r="E380" s="18"/>
      <c r="F380" s="18"/>
      <c r="G380" s="18"/>
      <c r="H380" s="18"/>
    </row>
    <row r="381" spans="1:8" ht="14.25" customHeight="1">
      <c r="A381" s="18"/>
      <c r="B381" s="18"/>
      <c r="C381" s="18"/>
      <c r="D381" s="18"/>
      <c r="E381" s="18"/>
      <c r="F381" s="18"/>
      <c r="G381" s="18"/>
      <c r="H381" s="18"/>
    </row>
    <row r="382" spans="1:8" ht="14.25" customHeight="1">
      <c r="A382" s="18"/>
      <c r="B382" s="18"/>
      <c r="C382" s="18"/>
      <c r="D382" s="18"/>
      <c r="E382" s="18"/>
      <c r="F382" s="18"/>
      <c r="G382" s="18"/>
      <c r="H382" s="18"/>
    </row>
    <row r="383" spans="1:8" ht="14.25" customHeight="1">
      <c r="A383" s="18"/>
      <c r="B383" s="18"/>
      <c r="C383" s="18"/>
      <c r="D383" s="18"/>
      <c r="E383" s="18"/>
      <c r="F383" s="18"/>
      <c r="G383" s="18"/>
      <c r="H383" s="18"/>
    </row>
    <row r="384" spans="1:8" ht="14.25" customHeight="1">
      <c r="A384" s="18"/>
      <c r="B384" s="18"/>
      <c r="C384" s="18"/>
      <c r="D384" s="18"/>
      <c r="E384" s="18"/>
      <c r="F384" s="18"/>
      <c r="G384" s="18"/>
      <c r="H384" s="18"/>
    </row>
    <row r="385" spans="1:8" ht="14.25" customHeight="1">
      <c r="A385" s="18"/>
      <c r="B385" s="18"/>
      <c r="C385" s="18"/>
      <c r="D385" s="18"/>
      <c r="E385" s="18"/>
      <c r="F385" s="18"/>
      <c r="G385" s="18"/>
      <c r="H385" s="18"/>
    </row>
    <row r="386" spans="1:8" ht="14.25" customHeight="1">
      <c r="A386" s="18"/>
      <c r="B386" s="18"/>
      <c r="C386" s="18"/>
      <c r="D386" s="18"/>
      <c r="E386" s="18"/>
      <c r="F386" s="18"/>
      <c r="G386" s="18"/>
      <c r="H386" s="18"/>
    </row>
    <row r="387" spans="1:8" ht="14.25" customHeight="1">
      <c r="A387" s="18"/>
      <c r="B387" s="18"/>
      <c r="C387" s="18"/>
      <c r="D387" s="18"/>
      <c r="E387" s="18"/>
      <c r="F387" s="18"/>
      <c r="G387" s="18"/>
      <c r="H387" s="18"/>
    </row>
    <row r="388" spans="1:8" ht="14.25" customHeight="1">
      <c r="A388" s="18"/>
      <c r="B388" s="18"/>
      <c r="C388" s="18"/>
      <c r="D388" s="18"/>
      <c r="E388" s="18"/>
      <c r="F388" s="18"/>
      <c r="G388" s="18"/>
      <c r="H388" s="18"/>
    </row>
    <row r="389" spans="1:8" ht="14.25" customHeight="1">
      <c r="A389" s="18"/>
      <c r="B389" s="18"/>
      <c r="C389" s="18"/>
      <c r="D389" s="18"/>
      <c r="E389" s="18"/>
      <c r="F389" s="18"/>
      <c r="G389" s="18"/>
      <c r="H389" s="18"/>
    </row>
    <row r="390" spans="1:8" ht="14.25" customHeight="1">
      <c r="A390" s="18"/>
      <c r="B390" s="18"/>
      <c r="C390" s="18"/>
      <c r="D390" s="18"/>
      <c r="E390" s="18"/>
      <c r="F390" s="18"/>
      <c r="G390" s="18"/>
      <c r="H390" s="18"/>
    </row>
    <row r="391" spans="1:8" ht="14.25" customHeight="1">
      <c r="A391" s="18"/>
      <c r="B391" s="18"/>
      <c r="C391" s="18"/>
      <c r="D391" s="18"/>
      <c r="E391" s="18"/>
      <c r="F391" s="18"/>
      <c r="G391" s="18"/>
      <c r="H391" s="18"/>
    </row>
    <row r="392" spans="1:8" ht="14.25" customHeight="1">
      <c r="A392" s="18"/>
      <c r="B392" s="18"/>
      <c r="C392" s="18"/>
      <c r="D392" s="18"/>
      <c r="E392" s="18"/>
      <c r="F392" s="18"/>
      <c r="G392" s="18"/>
      <c r="H392" s="18"/>
    </row>
    <row r="393" spans="1:8" ht="14.25" customHeight="1">
      <c r="A393" s="18"/>
      <c r="B393" s="18"/>
      <c r="C393" s="18"/>
      <c r="D393" s="18"/>
      <c r="E393" s="18"/>
      <c r="F393" s="18"/>
      <c r="G393" s="18"/>
      <c r="H393" s="18"/>
    </row>
    <row r="394" spans="1:8" ht="14.25" customHeight="1">
      <c r="A394" s="18"/>
      <c r="B394" s="18"/>
      <c r="C394" s="18"/>
      <c r="D394" s="18"/>
      <c r="E394" s="18"/>
      <c r="F394" s="18"/>
      <c r="G394" s="18"/>
      <c r="H394" s="18"/>
    </row>
    <row r="395" spans="1:8" ht="14.25" customHeight="1">
      <c r="A395" s="18"/>
      <c r="B395" s="18"/>
      <c r="C395" s="18"/>
      <c r="D395" s="18"/>
      <c r="E395" s="18"/>
      <c r="F395" s="18"/>
      <c r="G395" s="18"/>
      <c r="H395" s="18"/>
    </row>
    <row r="396" spans="1:8" ht="14.25" customHeight="1">
      <c r="A396" s="18"/>
      <c r="B396" s="18"/>
      <c r="C396" s="18"/>
      <c r="D396" s="18"/>
      <c r="E396" s="18"/>
      <c r="F396" s="18"/>
      <c r="G396" s="18"/>
      <c r="H396" s="18"/>
    </row>
    <row r="397" spans="1:8" ht="14.25" customHeight="1">
      <c r="A397" s="18"/>
      <c r="B397" s="18"/>
      <c r="C397" s="18"/>
      <c r="D397" s="18"/>
      <c r="E397" s="18"/>
      <c r="F397" s="18"/>
      <c r="G397" s="18"/>
      <c r="H397" s="18"/>
    </row>
    <row r="398" spans="1:8" ht="14.25" customHeight="1">
      <c r="A398" s="18"/>
      <c r="B398" s="18"/>
      <c r="C398" s="18"/>
      <c r="D398" s="18"/>
      <c r="E398" s="18"/>
      <c r="F398" s="18"/>
      <c r="G398" s="18"/>
      <c r="H398" s="18"/>
    </row>
    <row r="399" spans="1:8" ht="14.25" customHeight="1">
      <c r="A399" s="18"/>
      <c r="B399" s="18"/>
      <c r="C399" s="18"/>
      <c r="D399" s="18"/>
      <c r="E399" s="18"/>
      <c r="F399" s="18"/>
      <c r="G399" s="18"/>
      <c r="H399" s="18"/>
    </row>
    <row r="400" spans="1:8" ht="14.25" customHeight="1">
      <c r="A400" s="18"/>
      <c r="B400" s="18"/>
      <c r="C400" s="18"/>
      <c r="D400" s="18"/>
      <c r="E400" s="18"/>
      <c r="F400" s="18"/>
      <c r="G400" s="18"/>
      <c r="H400" s="18"/>
    </row>
    <row r="401" spans="1:8" ht="14.25" customHeight="1">
      <c r="A401" s="18"/>
      <c r="B401" s="18"/>
      <c r="C401" s="18"/>
      <c r="D401" s="18"/>
      <c r="E401" s="18"/>
      <c r="F401" s="18"/>
      <c r="G401" s="18"/>
      <c r="H401" s="18"/>
    </row>
    <row r="402" spans="1:8" ht="14.25" customHeight="1">
      <c r="A402" s="18"/>
      <c r="B402" s="18"/>
      <c r="C402" s="18"/>
      <c r="D402" s="18"/>
      <c r="E402" s="18"/>
      <c r="F402" s="18"/>
      <c r="G402" s="18"/>
      <c r="H402" s="18"/>
    </row>
    <row r="403" spans="1:8" ht="14.25" customHeight="1">
      <c r="A403" s="18"/>
      <c r="B403" s="18"/>
      <c r="C403" s="18"/>
      <c r="D403" s="18"/>
      <c r="E403" s="18"/>
      <c r="F403" s="18"/>
      <c r="G403" s="18"/>
      <c r="H403" s="18"/>
    </row>
    <row r="404" spans="1:8" ht="14.25" customHeight="1">
      <c r="A404" s="18"/>
      <c r="B404" s="18"/>
      <c r="C404" s="18"/>
      <c r="D404" s="18"/>
      <c r="E404" s="18"/>
      <c r="F404" s="18"/>
      <c r="G404" s="18"/>
      <c r="H404" s="18"/>
    </row>
    <row r="405" spans="1:8" ht="14.25" customHeight="1">
      <c r="A405" s="18"/>
      <c r="B405" s="18"/>
      <c r="C405" s="18"/>
      <c r="D405" s="18"/>
      <c r="E405" s="18"/>
      <c r="F405" s="18"/>
      <c r="G405" s="18"/>
      <c r="H405" s="18"/>
    </row>
    <row r="406" spans="1:8" ht="14.25" customHeight="1">
      <c r="A406" s="18"/>
      <c r="B406" s="18"/>
      <c r="C406" s="18"/>
      <c r="D406" s="18"/>
      <c r="E406" s="18"/>
      <c r="F406" s="18"/>
      <c r="G406" s="18"/>
      <c r="H406" s="18"/>
    </row>
    <row r="407" spans="1:8" ht="14.25" customHeight="1">
      <c r="A407" s="18"/>
      <c r="B407" s="18"/>
      <c r="C407" s="18"/>
      <c r="D407" s="18"/>
      <c r="E407" s="18"/>
      <c r="F407" s="18"/>
      <c r="G407" s="18"/>
      <c r="H407" s="18"/>
    </row>
    <row r="408" spans="1:8" ht="14.25" customHeight="1">
      <c r="A408" s="18"/>
      <c r="B408" s="18"/>
      <c r="C408" s="18"/>
      <c r="D408" s="18"/>
      <c r="E408" s="18"/>
      <c r="F408" s="18"/>
      <c r="G408" s="18"/>
      <c r="H408" s="18"/>
    </row>
    <row r="409" spans="1:8" ht="14.25" customHeight="1">
      <c r="A409" s="18"/>
      <c r="B409" s="18"/>
      <c r="C409" s="18"/>
      <c r="D409" s="18"/>
      <c r="E409" s="18"/>
      <c r="F409" s="18"/>
      <c r="G409" s="18"/>
      <c r="H409" s="18"/>
    </row>
    <row r="410" spans="1:8" ht="14.25" customHeight="1">
      <c r="A410" s="18"/>
      <c r="B410" s="18"/>
      <c r="C410" s="18"/>
      <c r="D410" s="18"/>
      <c r="E410" s="18"/>
      <c r="F410" s="18"/>
      <c r="G410" s="18"/>
      <c r="H410" s="18"/>
    </row>
    <row r="411" spans="1:8" ht="14.25" customHeight="1">
      <c r="A411" s="18"/>
      <c r="B411" s="18"/>
      <c r="C411" s="18"/>
      <c r="D411" s="18"/>
      <c r="E411" s="18"/>
      <c r="F411" s="18"/>
      <c r="G411" s="18"/>
      <c r="H411" s="18"/>
    </row>
    <row r="412" spans="1:8" ht="14.25" customHeight="1">
      <c r="A412" s="18"/>
      <c r="B412" s="18"/>
      <c r="C412" s="18"/>
      <c r="D412" s="18"/>
      <c r="E412" s="18"/>
      <c r="F412" s="18"/>
      <c r="G412" s="18"/>
      <c r="H412" s="18"/>
    </row>
    <row r="413" spans="1:8" ht="14.25" customHeight="1">
      <c r="A413" s="18"/>
      <c r="B413" s="18"/>
      <c r="C413" s="18"/>
      <c r="D413" s="18"/>
      <c r="E413" s="18"/>
      <c r="F413" s="18"/>
      <c r="G413" s="18"/>
      <c r="H413" s="18"/>
    </row>
    <row r="414" spans="1:8" ht="14.25" customHeight="1">
      <c r="A414" s="18"/>
      <c r="B414" s="18"/>
      <c r="C414" s="18"/>
      <c r="D414" s="18"/>
      <c r="E414" s="18"/>
      <c r="F414" s="18"/>
      <c r="G414" s="18"/>
      <c r="H414" s="18"/>
    </row>
    <row r="415" spans="1:8" ht="14.25" customHeight="1">
      <c r="A415" s="18"/>
      <c r="B415" s="18"/>
      <c r="C415" s="18"/>
      <c r="D415" s="18"/>
      <c r="E415" s="18"/>
      <c r="F415" s="18"/>
      <c r="G415" s="18"/>
      <c r="H415" s="18"/>
    </row>
    <row r="416" spans="1:8" ht="14.25" customHeight="1">
      <c r="A416" s="18"/>
      <c r="B416" s="18"/>
      <c r="C416" s="18"/>
      <c r="D416" s="18"/>
      <c r="E416" s="18"/>
      <c r="F416" s="18"/>
      <c r="G416" s="18"/>
      <c r="H416" s="18"/>
    </row>
    <row r="417" spans="1:8" ht="14.25" customHeight="1">
      <c r="A417" s="18"/>
      <c r="B417" s="18"/>
      <c r="C417" s="18"/>
      <c r="D417" s="18"/>
      <c r="E417" s="18"/>
      <c r="F417" s="18"/>
      <c r="G417" s="18"/>
      <c r="H417" s="18"/>
    </row>
    <row r="418" spans="1:8" ht="14.25" customHeight="1">
      <c r="A418" s="18"/>
      <c r="B418" s="18"/>
      <c r="C418" s="18"/>
      <c r="D418" s="18"/>
      <c r="E418" s="18"/>
      <c r="F418" s="18"/>
      <c r="G418" s="18"/>
      <c r="H418" s="18"/>
    </row>
    <row r="419" spans="1:8" ht="14.25" customHeight="1">
      <c r="A419" s="18"/>
      <c r="B419" s="18"/>
      <c r="C419" s="18"/>
      <c r="D419" s="18"/>
      <c r="E419" s="18"/>
      <c r="F419" s="18"/>
      <c r="G419" s="18"/>
      <c r="H419" s="18"/>
    </row>
    <row r="420" spans="1:8" ht="14.25" customHeight="1">
      <c r="A420" s="18"/>
      <c r="B420" s="18"/>
      <c r="C420" s="18"/>
      <c r="D420" s="18"/>
      <c r="E420" s="18"/>
      <c r="F420" s="18"/>
      <c r="G420" s="18"/>
      <c r="H420" s="18"/>
    </row>
    <row r="421" spans="1:8" ht="14.25" customHeight="1">
      <c r="A421" s="18"/>
      <c r="B421" s="18"/>
      <c r="C421" s="18"/>
      <c r="D421" s="18"/>
      <c r="E421" s="18"/>
      <c r="F421" s="18"/>
      <c r="G421" s="18"/>
      <c r="H421" s="18"/>
    </row>
    <row r="422" spans="1:8" ht="14.25" customHeight="1">
      <c r="A422" s="18"/>
      <c r="B422" s="18"/>
      <c r="C422" s="18"/>
      <c r="D422" s="18"/>
      <c r="E422" s="18"/>
      <c r="F422" s="18"/>
      <c r="G422" s="18"/>
      <c r="H422" s="18"/>
    </row>
    <row r="423" spans="1:8" ht="14.25" customHeight="1">
      <c r="A423" s="18"/>
      <c r="B423" s="18"/>
      <c r="C423" s="18"/>
      <c r="D423" s="18"/>
      <c r="E423" s="18"/>
      <c r="F423" s="18"/>
      <c r="G423" s="18"/>
      <c r="H423" s="18"/>
    </row>
    <row r="424" spans="1:8" ht="14.25" customHeight="1">
      <c r="A424" s="18"/>
      <c r="B424" s="18"/>
      <c r="C424" s="18"/>
      <c r="D424" s="18"/>
      <c r="E424" s="18"/>
      <c r="F424" s="18"/>
      <c r="G424" s="18"/>
      <c r="H424" s="18"/>
    </row>
    <row r="425" spans="1:8" ht="14.25" customHeight="1">
      <c r="A425" s="18"/>
      <c r="B425" s="18"/>
      <c r="C425" s="18"/>
      <c r="D425" s="18"/>
      <c r="E425" s="18"/>
      <c r="F425" s="18"/>
      <c r="G425" s="18"/>
      <c r="H425" s="18"/>
    </row>
    <row r="426" spans="1:8" ht="14.25" customHeight="1">
      <c r="A426" s="18"/>
      <c r="B426" s="18"/>
      <c r="C426" s="18"/>
      <c r="D426" s="18"/>
      <c r="E426" s="18"/>
      <c r="F426" s="18"/>
      <c r="G426" s="18"/>
      <c r="H426" s="18"/>
    </row>
    <row r="427" spans="1:8" ht="14.25" customHeight="1">
      <c r="A427" s="18"/>
      <c r="B427" s="18"/>
      <c r="C427" s="18"/>
      <c r="D427" s="18"/>
      <c r="E427" s="18"/>
      <c r="F427" s="18"/>
      <c r="G427" s="18"/>
      <c r="H427" s="18"/>
    </row>
    <row r="428" spans="1:8" ht="14.25" customHeight="1">
      <c r="A428" s="18"/>
      <c r="B428" s="18"/>
      <c r="C428" s="18"/>
      <c r="D428" s="18"/>
      <c r="E428" s="18"/>
      <c r="F428" s="18"/>
      <c r="G428" s="18"/>
      <c r="H428" s="18"/>
    </row>
    <row r="429" spans="1:8" ht="14.25" customHeight="1">
      <c r="A429" s="18"/>
      <c r="B429" s="18"/>
      <c r="C429" s="18"/>
      <c r="D429" s="18"/>
      <c r="E429" s="18"/>
      <c r="F429" s="18"/>
      <c r="G429" s="18"/>
      <c r="H429" s="18"/>
    </row>
    <row r="430" spans="1:8" ht="14.25" customHeight="1">
      <c r="A430" s="18"/>
      <c r="B430" s="18"/>
      <c r="C430" s="18"/>
      <c r="D430" s="18"/>
      <c r="E430" s="18"/>
      <c r="F430" s="18"/>
      <c r="G430" s="18"/>
      <c r="H430" s="18"/>
    </row>
    <row r="431" spans="1:8" ht="14.25" customHeight="1">
      <c r="A431" s="18"/>
      <c r="B431" s="18"/>
      <c r="C431" s="18"/>
      <c r="D431" s="18"/>
      <c r="E431" s="18"/>
      <c r="F431" s="18"/>
      <c r="G431" s="18"/>
      <c r="H431" s="18"/>
    </row>
    <row r="432" spans="1:8" ht="14.25" customHeight="1">
      <c r="A432" s="18"/>
      <c r="B432" s="18"/>
      <c r="C432" s="18"/>
      <c r="D432" s="18"/>
      <c r="E432" s="18"/>
      <c r="F432" s="18"/>
      <c r="G432" s="18"/>
      <c r="H432" s="18"/>
    </row>
    <row r="433" spans="1:8" ht="14.25" customHeight="1">
      <c r="A433" s="18"/>
      <c r="B433" s="18"/>
      <c r="C433" s="18"/>
      <c r="D433" s="18"/>
      <c r="E433" s="18"/>
      <c r="F433" s="18"/>
      <c r="G433" s="18"/>
      <c r="H433" s="18"/>
    </row>
    <row r="434" spans="1:8" ht="14.25" customHeight="1">
      <c r="A434" s="18"/>
      <c r="B434" s="18"/>
      <c r="C434" s="18"/>
      <c r="D434" s="18"/>
      <c r="E434" s="18"/>
      <c r="F434" s="18"/>
      <c r="G434" s="18"/>
      <c r="H434" s="18"/>
    </row>
    <row r="435" spans="1:8" ht="14.25" customHeight="1">
      <c r="A435" s="18"/>
      <c r="B435" s="18"/>
      <c r="C435" s="18"/>
      <c r="D435" s="18"/>
      <c r="E435" s="18"/>
      <c r="F435" s="18"/>
      <c r="G435" s="18"/>
      <c r="H435" s="18"/>
    </row>
    <row r="436" spans="1:8" ht="14.25" customHeight="1">
      <c r="A436" s="18"/>
      <c r="B436" s="18"/>
      <c r="C436" s="18"/>
      <c r="D436" s="18"/>
      <c r="E436" s="18"/>
      <c r="F436" s="18"/>
      <c r="G436" s="18"/>
      <c r="H436" s="18"/>
    </row>
    <row r="437" spans="1:8" ht="14.25" customHeight="1">
      <c r="A437" s="18"/>
      <c r="B437" s="18"/>
      <c r="C437" s="18"/>
      <c r="D437" s="18"/>
      <c r="E437" s="18"/>
      <c r="F437" s="18"/>
      <c r="G437" s="18"/>
      <c r="H437" s="18"/>
    </row>
    <row r="438" spans="1:8" ht="14.25" customHeight="1">
      <c r="A438" s="18"/>
      <c r="B438" s="18"/>
      <c r="C438" s="18"/>
      <c r="D438" s="18"/>
      <c r="E438" s="18"/>
      <c r="F438" s="18"/>
      <c r="G438" s="18"/>
      <c r="H438" s="18"/>
    </row>
    <row r="439" spans="1:8" ht="14.25" customHeight="1">
      <c r="A439" s="18"/>
      <c r="B439" s="18"/>
      <c r="C439" s="18"/>
      <c r="D439" s="18"/>
      <c r="E439" s="18"/>
      <c r="F439" s="18"/>
      <c r="G439" s="18"/>
      <c r="H439" s="18"/>
    </row>
    <row r="440" spans="1:8" ht="14.25" customHeight="1">
      <c r="A440" s="18"/>
      <c r="B440" s="18"/>
      <c r="C440" s="18"/>
      <c r="D440" s="18"/>
      <c r="E440" s="18"/>
      <c r="F440" s="18"/>
      <c r="G440" s="18"/>
      <c r="H440" s="18"/>
    </row>
    <row r="441" spans="1:8" ht="14.25" customHeight="1">
      <c r="A441" s="18"/>
      <c r="B441" s="18"/>
      <c r="C441" s="18"/>
      <c r="D441" s="18"/>
      <c r="E441" s="18"/>
      <c r="F441" s="18"/>
      <c r="G441" s="18"/>
      <c r="H441" s="18"/>
    </row>
    <row r="442" spans="1:8" ht="14.25" customHeight="1">
      <c r="A442" s="18"/>
      <c r="B442" s="18"/>
      <c r="C442" s="18"/>
      <c r="D442" s="18"/>
      <c r="E442" s="18"/>
      <c r="F442" s="18"/>
      <c r="G442" s="18"/>
      <c r="H442" s="18"/>
    </row>
    <row r="443" spans="1:8" ht="14.25" customHeight="1">
      <c r="A443" s="18"/>
      <c r="B443" s="18"/>
      <c r="C443" s="18"/>
      <c r="D443" s="18"/>
      <c r="E443" s="18"/>
      <c r="F443" s="18"/>
      <c r="G443" s="18"/>
      <c r="H443" s="18"/>
    </row>
    <row r="444" spans="1:8" ht="14.25" customHeight="1">
      <c r="A444" s="18"/>
      <c r="B444" s="18"/>
      <c r="C444" s="18"/>
      <c r="D444" s="18"/>
      <c r="E444" s="18"/>
      <c r="F444" s="18"/>
      <c r="G444" s="18"/>
      <c r="H444" s="18"/>
    </row>
    <row r="445" spans="1:8" ht="14.25" customHeight="1">
      <c r="A445" s="18"/>
      <c r="B445" s="18"/>
      <c r="C445" s="18"/>
      <c r="D445" s="18"/>
      <c r="E445" s="18"/>
      <c r="F445" s="18"/>
      <c r="G445" s="18"/>
      <c r="H445" s="18"/>
    </row>
    <row r="446" spans="1:8" ht="14.25" customHeight="1">
      <c r="A446" s="18"/>
      <c r="B446" s="18"/>
      <c r="C446" s="18"/>
      <c r="D446" s="18"/>
      <c r="E446" s="18"/>
      <c r="F446" s="18"/>
      <c r="G446" s="18"/>
      <c r="H446" s="18"/>
    </row>
    <row r="447" spans="1:8" ht="14.25" customHeight="1">
      <c r="A447" s="18"/>
      <c r="B447" s="18"/>
      <c r="C447" s="18"/>
      <c r="D447" s="18"/>
      <c r="E447" s="18"/>
      <c r="F447" s="18"/>
      <c r="G447" s="18"/>
      <c r="H447" s="18"/>
    </row>
    <row r="448" spans="1:8" ht="14.25" customHeight="1">
      <c r="A448" s="18"/>
      <c r="B448" s="18"/>
      <c r="C448" s="18"/>
      <c r="D448" s="18"/>
      <c r="E448" s="18"/>
      <c r="F448" s="18"/>
      <c r="G448" s="18"/>
      <c r="H448" s="18"/>
    </row>
    <row r="449" spans="1:8" ht="14.25" customHeight="1">
      <c r="A449" s="18"/>
      <c r="B449" s="18"/>
      <c r="C449" s="18"/>
      <c r="D449" s="18"/>
      <c r="E449" s="18"/>
      <c r="F449" s="18"/>
      <c r="G449" s="18"/>
      <c r="H449" s="18"/>
    </row>
    <row r="450" spans="1:8" ht="14.25" customHeight="1">
      <c r="A450" s="18"/>
      <c r="B450" s="18"/>
      <c r="C450" s="18"/>
      <c r="D450" s="18"/>
      <c r="E450" s="18"/>
      <c r="F450" s="18"/>
      <c r="G450" s="18"/>
      <c r="H450" s="18"/>
    </row>
    <row r="451" spans="1:8" ht="14.25" customHeight="1">
      <c r="A451" s="18"/>
      <c r="B451" s="18"/>
      <c r="C451" s="18"/>
      <c r="D451" s="18"/>
      <c r="E451" s="18"/>
      <c r="F451" s="18"/>
      <c r="G451" s="18"/>
      <c r="H451" s="18"/>
    </row>
    <row r="452" spans="1:8" ht="14.25" customHeight="1">
      <c r="A452" s="18"/>
      <c r="B452" s="18"/>
      <c r="C452" s="18"/>
      <c r="D452" s="18"/>
      <c r="E452" s="18"/>
      <c r="F452" s="18"/>
      <c r="G452" s="18"/>
      <c r="H452" s="18"/>
    </row>
    <row r="453" spans="1:8" ht="14.25" customHeight="1">
      <c r="A453" s="18"/>
      <c r="B453" s="18"/>
      <c r="C453" s="18"/>
      <c r="D453" s="18"/>
      <c r="E453" s="18"/>
      <c r="F453" s="18"/>
      <c r="G453" s="18"/>
      <c r="H453" s="18"/>
    </row>
    <row r="454" spans="1:8" ht="14.25" customHeight="1">
      <c r="A454" s="18"/>
      <c r="B454" s="18"/>
      <c r="C454" s="18"/>
      <c r="D454" s="18"/>
      <c r="E454" s="18"/>
      <c r="F454" s="18"/>
      <c r="G454" s="18"/>
      <c r="H454" s="18"/>
    </row>
    <row r="455" spans="1:8" ht="14.25" customHeight="1">
      <c r="A455" s="18"/>
      <c r="B455" s="18"/>
      <c r="C455" s="18"/>
      <c r="D455" s="18"/>
      <c r="E455" s="18"/>
      <c r="F455" s="18"/>
      <c r="G455" s="18"/>
      <c r="H455" s="18"/>
    </row>
    <row r="456" spans="1:8" ht="14.25" customHeight="1">
      <c r="A456" s="18"/>
      <c r="B456" s="18"/>
      <c r="C456" s="18"/>
      <c r="D456" s="18"/>
      <c r="E456" s="18"/>
      <c r="F456" s="18"/>
      <c r="G456" s="18"/>
      <c r="H456" s="18"/>
    </row>
    <row r="457" spans="1:8" ht="14.25" customHeight="1">
      <c r="A457" s="18"/>
      <c r="B457" s="18"/>
      <c r="C457" s="18"/>
      <c r="D457" s="18"/>
      <c r="E457" s="18"/>
      <c r="F457" s="18"/>
      <c r="G457" s="18"/>
      <c r="H457" s="18"/>
    </row>
    <row r="458" spans="1:8" ht="14.25" customHeight="1">
      <c r="A458" s="18"/>
      <c r="B458" s="18"/>
      <c r="C458" s="18"/>
      <c r="D458" s="18"/>
      <c r="E458" s="18"/>
      <c r="F458" s="18"/>
      <c r="G458" s="18"/>
      <c r="H458" s="18"/>
    </row>
    <row r="459" spans="1:8" ht="14.25" customHeight="1">
      <c r="A459" s="18"/>
      <c r="B459" s="18"/>
      <c r="C459" s="18"/>
      <c r="D459" s="18"/>
      <c r="E459" s="18"/>
      <c r="F459" s="18"/>
      <c r="G459" s="18"/>
      <c r="H459" s="18"/>
    </row>
    <row r="460" spans="1:8" ht="14.25" customHeight="1">
      <c r="A460" s="18"/>
      <c r="B460" s="18"/>
      <c r="C460" s="18"/>
      <c r="D460" s="18"/>
      <c r="E460" s="18"/>
      <c r="F460" s="18"/>
      <c r="G460" s="18"/>
      <c r="H460" s="18"/>
    </row>
    <row r="461" spans="1:8" ht="14.25" customHeight="1">
      <c r="A461" s="18"/>
      <c r="B461" s="18"/>
      <c r="C461" s="18"/>
      <c r="D461" s="18"/>
      <c r="E461" s="18"/>
      <c r="F461" s="18"/>
      <c r="G461" s="18"/>
      <c r="H461" s="18"/>
    </row>
    <row r="462" spans="1:8" ht="14.25" customHeight="1">
      <c r="A462" s="18"/>
      <c r="B462" s="18"/>
      <c r="C462" s="18"/>
      <c r="D462" s="18"/>
      <c r="E462" s="18"/>
      <c r="F462" s="18"/>
      <c r="G462" s="18"/>
      <c r="H462" s="18"/>
    </row>
    <row r="463" spans="1:8" ht="14.25" customHeight="1">
      <c r="A463" s="18"/>
      <c r="B463" s="18"/>
      <c r="C463" s="18"/>
      <c r="D463" s="18"/>
      <c r="E463" s="18"/>
      <c r="F463" s="18"/>
      <c r="G463" s="18"/>
      <c r="H463" s="18"/>
    </row>
    <row r="464" spans="1:8" ht="14.25" customHeight="1">
      <c r="A464" s="18"/>
      <c r="B464" s="18"/>
      <c r="C464" s="18"/>
      <c r="D464" s="18"/>
      <c r="E464" s="18"/>
      <c r="F464" s="18"/>
      <c r="G464" s="18"/>
      <c r="H464" s="18"/>
    </row>
    <row r="465" spans="1:8" ht="14.25" customHeight="1">
      <c r="A465" s="18"/>
      <c r="B465" s="18"/>
      <c r="C465" s="18"/>
      <c r="D465" s="18"/>
      <c r="E465" s="18"/>
      <c r="F465" s="18"/>
      <c r="G465" s="18"/>
      <c r="H465" s="18"/>
    </row>
    <row r="466" spans="1:8" ht="14.25" customHeight="1">
      <c r="A466" s="18"/>
      <c r="B466" s="18"/>
      <c r="C466" s="18"/>
      <c r="D466" s="18"/>
      <c r="E466" s="18"/>
      <c r="F466" s="18"/>
      <c r="G466" s="18"/>
      <c r="H466" s="18"/>
    </row>
    <row r="467" spans="1:8" ht="14.25" customHeight="1">
      <c r="A467" s="18"/>
      <c r="B467" s="18"/>
      <c r="C467" s="18"/>
      <c r="D467" s="18"/>
      <c r="E467" s="18"/>
      <c r="F467" s="18"/>
      <c r="G467" s="18"/>
      <c r="H467" s="18"/>
    </row>
    <row r="468" spans="1:8" ht="14.25" customHeight="1">
      <c r="A468" s="18"/>
      <c r="B468" s="18"/>
      <c r="C468" s="18"/>
      <c r="D468" s="18"/>
      <c r="E468" s="18"/>
      <c r="F468" s="18"/>
      <c r="G468" s="18"/>
      <c r="H468" s="18"/>
    </row>
    <row r="469" spans="1:8" ht="14.25" customHeight="1">
      <c r="A469" s="18"/>
      <c r="B469" s="18"/>
      <c r="C469" s="18"/>
      <c r="D469" s="18"/>
      <c r="E469" s="18"/>
      <c r="F469" s="18"/>
      <c r="G469" s="18"/>
      <c r="H469" s="18"/>
    </row>
    <row r="470" spans="1:8" ht="14.25" customHeight="1">
      <c r="A470" s="18"/>
      <c r="B470" s="18"/>
      <c r="C470" s="18"/>
      <c r="D470" s="18"/>
      <c r="E470" s="18"/>
      <c r="F470" s="18"/>
      <c r="G470" s="18"/>
      <c r="H470" s="18"/>
    </row>
    <row r="471" spans="1:8" ht="14.25" customHeight="1">
      <c r="A471" s="18"/>
      <c r="B471" s="18"/>
      <c r="C471" s="18"/>
      <c r="D471" s="18"/>
      <c r="E471" s="18"/>
      <c r="F471" s="18"/>
      <c r="G471" s="18"/>
      <c r="H471" s="18"/>
    </row>
    <row r="472" spans="1:8" ht="14.25" customHeight="1">
      <c r="A472" s="18"/>
      <c r="B472" s="18"/>
      <c r="C472" s="18"/>
      <c r="D472" s="18"/>
      <c r="E472" s="18"/>
      <c r="F472" s="18"/>
      <c r="G472" s="18"/>
      <c r="H472" s="18"/>
    </row>
    <row r="473" spans="1:8" ht="14.25" customHeight="1">
      <c r="A473" s="18"/>
      <c r="B473" s="18"/>
      <c r="C473" s="18"/>
      <c r="D473" s="18"/>
      <c r="E473" s="18"/>
      <c r="F473" s="18"/>
      <c r="G473" s="18"/>
      <c r="H473" s="18"/>
    </row>
    <row r="474" spans="1:8" ht="14.25" customHeight="1">
      <c r="A474" s="18"/>
      <c r="B474" s="18"/>
      <c r="C474" s="18"/>
      <c r="D474" s="18"/>
      <c r="E474" s="18"/>
      <c r="F474" s="18"/>
      <c r="G474" s="18"/>
      <c r="H474" s="18"/>
    </row>
    <row r="475" spans="1:8" ht="14.25" customHeight="1">
      <c r="A475" s="18"/>
      <c r="B475" s="18"/>
      <c r="C475" s="18"/>
      <c r="D475" s="18"/>
      <c r="E475" s="18"/>
      <c r="F475" s="18"/>
      <c r="G475" s="18"/>
      <c r="H475" s="18"/>
    </row>
    <row r="476" spans="1:8" ht="14.25" customHeight="1">
      <c r="A476" s="18"/>
      <c r="B476" s="18"/>
      <c r="C476" s="18"/>
      <c r="D476" s="18"/>
      <c r="E476" s="18"/>
      <c r="F476" s="18"/>
      <c r="G476" s="18"/>
      <c r="H476" s="18"/>
    </row>
    <row r="477" spans="1:8" ht="14.25" customHeight="1">
      <c r="A477" s="18"/>
      <c r="B477" s="18"/>
      <c r="C477" s="18"/>
      <c r="D477" s="18"/>
      <c r="E477" s="18"/>
      <c r="F477" s="18"/>
      <c r="G477" s="18"/>
      <c r="H477" s="18"/>
    </row>
    <row r="478" spans="1:8" ht="14.25" customHeight="1">
      <c r="A478" s="18"/>
      <c r="B478" s="18"/>
      <c r="C478" s="18"/>
      <c r="D478" s="18"/>
      <c r="E478" s="18"/>
      <c r="F478" s="18"/>
      <c r="G478" s="18"/>
      <c r="H478" s="18"/>
    </row>
    <row r="479" spans="1:8" ht="14.25" customHeight="1">
      <c r="A479" s="18"/>
      <c r="B479" s="18"/>
      <c r="C479" s="18"/>
      <c r="D479" s="18"/>
      <c r="E479" s="18"/>
      <c r="F479" s="18"/>
      <c r="G479" s="18"/>
      <c r="H479" s="18"/>
    </row>
    <row r="480" spans="1:8" ht="14.25" customHeight="1">
      <c r="A480" s="18"/>
      <c r="B480" s="18"/>
      <c r="C480" s="18"/>
      <c r="D480" s="18"/>
      <c r="E480" s="18"/>
      <c r="F480" s="18"/>
      <c r="G480" s="18"/>
      <c r="H480" s="18"/>
    </row>
    <row r="481" spans="1:8" ht="14.25" customHeight="1">
      <c r="A481" s="18"/>
      <c r="B481" s="18"/>
      <c r="C481" s="18"/>
      <c r="D481" s="18"/>
      <c r="E481" s="18"/>
      <c r="F481" s="18"/>
      <c r="G481" s="18"/>
      <c r="H481" s="18"/>
    </row>
    <row r="482" spans="1:8" ht="14.25" customHeight="1">
      <c r="A482" s="18"/>
      <c r="B482" s="18"/>
      <c r="C482" s="18"/>
      <c r="D482" s="18"/>
      <c r="E482" s="18"/>
      <c r="F482" s="18"/>
      <c r="G482" s="18"/>
      <c r="H482" s="18"/>
    </row>
    <row r="483" spans="1:8" ht="14.25" customHeight="1">
      <c r="A483" s="18"/>
      <c r="B483" s="18"/>
      <c r="C483" s="18"/>
      <c r="D483" s="18"/>
      <c r="E483" s="18"/>
      <c r="F483" s="18"/>
      <c r="G483" s="18"/>
      <c r="H483" s="18"/>
    </row>
    <row r="484" spans="1:8" ht="14.25" customHeight="1">
      <c r="A484" s="18"/>
      <c r="B484" s="18"/>
      <c r="C484" s="18"/>
      <c r="D484" s="18"/>
      <c r="E484" s="18"/>
      <c r="F484" s="18"/>
      <c r="G484" s="18"/>
      <c r="H484" s="18"/>
    </row>
    <row r="485" spans="1:8" ht="14.25" customHeight="1">
      <c r="A485" s="18"/>
      <c r="B485" s="18"/>
      <c r="C485" s="18"/>
      <c r="D485" s="18"/>
      <c r="E485" s="18"/>
      <c r="F485" s="18"/>
      <c r="G485" s="18"/>
      <c r="H485" s="18"/>
    </row>
    <row r="486" spans="1:8" ht="14.25" customHeight="1">
      <c r="A486" s="18"/>
      <c r="B486" s="18"/>
      <c r="C486" s="18"/>
      <c r="D486" s="18"/>
      <c r="E486" s="18"/>
      <c r="F486" s="18"/>
      <c r="G486" s="18"/>
      <c r="H486" s="18"/>
    </row>
    <row r="487" spans="1:8" ht="14.25" customHeight="1">
      <c r="A487" s="18"/>
      <c r="B487" s="18"/>
      <c r="C487" s="18"/>
      <c r="D487" s="18"/>
      <c r="E487" s="18"/>
      <c r="F487" s="18"/>
      <c r="G487" s="18"/>
      <c r="H487" s="18"/>
    </row>
    <row r="488" spans="1:8" ht="14.25" customHeight="1">
      <c r="A488" s="18"/>
      <c r="B488" s="18"/>
      <c r="C488" s="18"/>
      <c r="D488" s="18"/>
      <c r="E488" s="18"/>
      <c r="F488" s="18"/>
      <c r="G488" s="18"/>
      <c r="H488" s="18"/>
    </row>
    <row r="489" spans="1:8" ht="14.25" customHeight="1">
      <c r="A489" s="18"/>
      <c r="B489" s="18"/>
      <c r="C489" s="18"/>
      <c r="D489" s="18"/>
      <c r="E489" s="18"/>
      <c r="F489" s="18"/>
      <c r="G489" s="18"/>
      <c r="H489" s="18"/>
    </row>
    <row r="490" spans="1:8" ht="14.25" customHeight="1">
      <c r="A490" s="18"/>
      <c r="B490" s="18"/>
      <c r="C490" s="18"/>
      <c r="D490" s="18"/>
      <c r="E490" s="18"/>
      <c r="F490" s="18"/>
      <c r="G490" s="18"/>
      <c r="H490" s="18"/>
    </row>
    <row r="491" spans="1:8" ht="14.25" customHeight="1">
      <c r="A491" s="18"/>
      <c r="B491" s="18"/>
      <c r="C491" s="18"/>
      <c r="D491" s="18"/>
      <c r="E491" s="18"/>
      <c r="F491" s="18"/>
      <c r="G491" s="18"/>
      <c r="H491" s="18"/>
    </row>
    <row r="492" spans="1:8" ht="14.25" customHeight="1">
      <c r="A492" s="18"/>
      <c r="B492" s="18"/>
      <c r="C492" s="18"/>
      <c r="D492" s="18"/>
      <c r="E492" s="18"/>
      <c r="F492" s="18"/>
      <c r="G492" s="18"/>
      <c r="H492" s="18"/>
    </row>
    <row r="493" spans="1:8" ht="14.25" customHeight="1">
      <c r="A493" s="18"/>
      <c r="B493" s="18"/>
      <c r="C493" s="18"/>
      <c r="D493" s="18"/>
      <c r="E493" s="18"/>
      <c r="F493" s="18"/>
      <c r="G493" s="18"/>
      <c r="H493" s="18"/>
    </row>
    <row r="494" spans="1:8" ht="14.25" customHeight="1">
      <c r="A494" s="18"/>
      <c r="B494" s="18"/>
      <c r="C494" s="18"/>
      <c r="D494" s="18"/>
      <c r="E494" s="18"/>
      <c r="F494" s="18"/>
      <c r="G494" s="18"/>
      <c r="H494" s="18"/>
    </row>
    <row r="495" spans="1:8" ht="14.25" customHeight="1">
      <c r="A495" s="18"/>
      <c r="B495" s="18"/>
      <c r="C495" s="18"/>
      <c r="D495" s="18"/>
      <c r="E495" s="18"/>
      <c r="F495" s="18"/>
      <c r="G495" s="18"/>
      <c r="H495" s="18"/>
    </row>
    <row r="496" spans="1:8" ht="14.25" customHeight="1">
      <c r="A496" s="18"/>
      <c r="B496" s="18"/>
      <c r="C496" s="18"/>
      <c r="D496" s="18"/>
      <c r="E496" s="18"/>
      <c r="F496" s="18"/>
      <c r="G496" s="18"/>
      <c r="H496" s="18"/>
    </row>
    <row r="497" spans="1:8" ht="14.25" customHeight="1">
      <c r="A497" s="18"/>
      <c r="B497" s="18"/>
      <c r="C497" s="18"/>
      <c r="D497" s="18"/>
      <c r="E497" s="18"/>
      <c r="F497" s="18"/>
      <c r="G497" s="18"/>
      <c r="H497" s="18"/>
    </row>
    <row r="498" spans="1:8" ht="14.25" customHeight="1">
      <c r="A498" s="18"/>
      <c r="B498" s="18"/>
      <c r="C498" s="18"/>
      <c r="D498" s="18"/>
      <c r="E498" s="18"/>
      <c r="F498" s="18"/>
      <c r="G498" s="18"/>
      <c r="H498" s="18"/>
    </row>
    <row r="499" spans="1:8" ht="14.25" customHeight="1">
      <c r="A499" s="18"/>
      <c r="B499" s="18"/>
      <c r="C499" s="18"/>
      <c r="D499" s="18"/>
      <c r="E499" s="18"/>
      <c r="F499" s="18"/>
      <c r="G499" s="18"/>
      <c r="H499" s="18"/>
    </row>
    <row r="500" spans="1:8" ht="14.25" customHeight="1">
      <c r="A500" s="18"/>
      <c r="B500" s="18"/>
      <c r="C500" s="18"/>
      <c r="D500" s="18"/>
      <c r="E500" s="18"/>
      <c r="F500" s="18"/>
      <c r="G500" s="18"/>
      <c r="H500" s="18"/>
    </row>
    <row r="501" spans="1:8" ht="14.25" customHeight="1">
      <c r="A501" s="18"/>
      <c r="B501" s="18"/>
      <c r="C501" s="18"/>
      <c r="D501" s="18"/>
      <c r="E501" s="18"/>
      <c r="F501" s="18"/>
      <c r="G501" s="18"/>
      <c r="H501" s="18"/>
    </row>
    <row r="502" spans="1:8" ht="14.25" customHeight="1">
      <c r="A502" s="18"/>
      <c r="B502" s="18"/>
      <c r="C502" s="18"/>
      <c r="D502" s="18"/>
      <c r="E502" s="18"/>
      <c r="F502" s="18"/>
      <c r="G502" s="18"/>
      <c r="H502" s="18"/>
    </row>
    <row r="503" spans="1:8" ht="14.25" customHeight="1">
      <c r="A503" s="18"/>
      <c r="B503" s="18"/>
      <c r="C503" s="18"/>
      <c r="D503" s="18"/>
      <c r="E503" s="18"/>
      <c r="F503" s="18"/>
      <c r="G503" s="18"/>
      <c r="H503" s="18"/>
    </row>
    <row r="504" spans="1:8" ht="14.25" customHeight="1">
      <c r="A504" s="18"/>
      <c r="B504" s="18"/>
      <c r="C504" s="18"/>
      <c r="D504" s="18"/>
      <c r="E504" s="18"/>
      <c r="F504" s="18"/>
      <c r="G504" s="18"/>
      <c r="H504" s="18"/>
    </row>
    <row r="505" spans="1:8" ht="14.25" customHeight="1">
      <c r="A505" s="18"/>
      <c r="B505" s="18"/>
      <c r="C505" s="18"/>
      <c r="D505" s="18"/>
      <c r="E505" s="18"/>
      <c r="F505" s="18"/>
      <c r="G505" s="18"/>
      <c r="H505" s="18"/>
    </row>
    <row r="506" spans="1:8" ht="14.25" customHeight="1">
      <c r="A506" s="18"/>
      <c r="B506" s="18"/>
      <c r="C506" s="18"/>
      <c r="D506" s="18"/>
      <c r="E506" s="18"/>
      <c r="F506" s="18"/>
      <c r="G506" s="18"/>
      <c r="H506" s="18"/>
    </row>
    <row r="507" spans="1:8" ht="14.25" customHeight="1">
      <c r="A507" s="18"/>
      <c r="B507" s="18"/>
      <c r="C507" s="18"/>
      <c r="D507" s="18"/>
      <c r="E507" s="18"/>
      <c r="F507" s="18"/>
      <c r="G507" s="18"/>
      <c r="H507" s="18"/>
    </row>
    <row r="508" spans="1:8" ht="14.25" customHeight="1">
      <c r="A508" s="18"/>
      <c r="B508" s="18"/>
      <c r="C508" s="18"/>
      <c r="D508" s="18"/>
      <c r="E508" s="18"/>
      <c r="F508" s="18"/>
      <c r="G508" s="18"/>
      <c r="H508" s="18"/>
    </row>
    <row r="509" spans="1:8" ht="14.25" customHeight="1">
      <c r="A509" s="18"/>
      <c r="B509" s="18"/>
      <c r="C509" s="18"/>
      <c r="D509" s="18"/>
      <c r="E509" s="18"/>
      <c r="F509" s="18"/>
      <c r="G509" s="18"/>
      <c r="H509" s="18"/>
    </row>
    <row r="510" spans="1:8" ht="14.25" customHeight="1">
      <c r="A510" s="18"/>
      <c r="B510" s="18"/>
      <c r="C510" s="18"/>
      <c r="D510" s="18"/>
      <c r="E510" s="18"/>
      <c r="F510" s="18"/>
      <c r="G510" s="18"/>
      <c r="H510" s="18"/>
    </row>
    <row r="511" spans="1:8" ht="14.25" customHeight="1">
      <c r="A511" s="18"/>
      <c r="B511" s="18"/>
      <c r="C511" s="18"/>
      <c r="D511" s="18"/>
      <c r="E511" s="18"/>
      <c r="F511" s="18"/>
      <c r="G511" s="18"/>
      <c r="H511" s="18"/>
    </row>
    <row r="512" spans="1:8" ht="14.25" customHeight="1">
      <c r="A512" s="18"/>
      <c r="B512" s="18"/>
      <c r="C512" s="18"/>
      <c r="D512" s="18"/>
      <c r="E512" s="18"/>
      <c r="F512" s="18"/>
      <c r="G512" s="18"/>
      <c r="H512" s="18"/>
    </row>
    <row r="513" spans="1:8" ht="14.25" customHeight="1">
      <c r="A513" s="18"/>
      <c r="B513" s="18"/>
      <c r="C513" s="18"/>
      <c r="D513" s="18"/>
      <c r="E513" s="18"/>
      <c r="F513" s="18"/>
      <c r="G513" s="18"/>
      <c r="H513" s="18"/>
    </row>
    <row r="514" spans="1:8" ht="14.25" customHeight="1">
      <c r="A514" s="18"/>
      <c r="B514" s="18"/>
      <c r="C514" s="18"/>
      <c r="D514" s="18"/>
      <c r="E514" s="18"/>
      <c r="F514" s="18"/>
      <c r="G514" s="18"/>
      <c r="H514" s="18"/>
    </row>
    <row r="515" spans="1:8" ht="14.25" customHeight="1">
      <c r="A515" s="18"/>
      <c r="B515" s="18"/>
      <c r="C515" s="18"/>
      <c r="D515" s="18"/>
      <c r="E515" s="18"/>
      <c r="F515" s="18"/>
      <c r="G515" s="18"/>
      <c r="H515" s="18"/>
    </row>
    <row r="516" spans="1:8" ht="14.25" customHeight="1">
      <c r="A516" s="18"/>
      <c r="B516" s="18"/>
      <c r="C516" s="18"/>
      <c r="D516" s="18"/>
      <c r="E516" s="18"/>
      <c r="F516" s="18"/>
      <c r="G516" s="18"/>
      <c r="H516" s="18"/>
    </row>
    <row r="517" spans="1:8" ht="14.25" customHeight="1">
      <c r="A517" s="18"/>
      <c r="B517" s="18"/>
      <c r="C517" s="18"/>
      <c r="D517" s="18"/>
      <c r="E517" s="18"/>
      <c r="F517" s="18"/>
      <c r="G517" s="18"/>
      <c r="H517" s="18"/>
    </row>
    <row r="518" spans="1:8" ht="14.25" customHeight="1">
      <c r="A518" s="18"/>
      <c r="B518" s="18"/>
      <c r="C518" s="18"/>
      <c r="D518" s="18"/>
      <c r="E518" s="18"/>
      <c r="F518" s="18"/>
      <c r="G518" s="18"/>
      <c r="H518" s="18"/>
    </row>
    <row r="519" spans="1:8" ht="14.25" customHeight="1">
      <c r="A519" s="18"/>
      <c r="B519" s="18"/>
      <c r="C519" s="18"/>
      <c r="D519" s="18"/>
      <c r="E519" s="18"/>
      <c r="F519" s="18"/>
      <c r="G519" s="18"/>
      <c r="H519" s="18"/>
    </row>
    <row r="520" spans="1:8" ht="14.25" customHeight="1">
      <c r="A520" s="18"/>
      <c r="B520" s="18"/>
      <c r="C520" s="18"/>
      <c r="D520" s="18"/>
      <c r="E520" s="18"/>
      <c r="F520" s="18"/>
      <c r="G520" s="18"/>
      <c r="H520" s="18"/>
    </row>
    <row r="521" spans="1:8" ht="14.25" customHeight="1">
      <c r="A521" s="18"/>
      <c r="B521" s="18"/>
      <c r="C521" s="18"/>
      <c r="D521" s="18"/>
      <c r="E521" s="18"/>
      <c r="F521" s="18"/>
      <c r="G521" s="18"/>
      <c r="H521" s="18"/>
    </row>
    <row r="522" spans="1:8" ht="14.25" customHeight="1">
      <c r="A522" s="18"/>
      <c r="B522" s="18"/>
      <c r="C522" s="18"/>
      <c r="D522" s="18"/>
      <c r="E522" s="18"/>
      <c r="F522" s="18"/>
      <c r="G522" s="18"/>
      <c r="H522" s="18"/>
    </row>
    <row r="523" spans="1:8" ht="14.25" customHeight="1">
      <c r="A523" s="18"/>
      <c r="B523" s="18"/>
      <c r="C523" s="18"/>
      <c r="D523" s="18"/>
      <c r="E523" s="18"/>
      <c r="F523" s="18"/>
      <c r="G523" s="18"/>
      <c r="H523" s="18"/>
    </row>
    <row r="524" spans="1:8" ht="14.25" customHeight="1">
      <c r="A524" s="18"/>
      <c r="B524" s="18"/>
      <c r="C524" s="18"/>
      <c r="D524" s="18"/>
      <c r="E524" s="18"/>
      <c r="F524" s="18"/>
      <c r="G524" s="18"/>
      <c r="H524" s="18"/>
    </row>
    <row r="525" spans="1:8" ht="14.25" customHeight="1">
      <c r="A525" s="18"/>
      <c r="B525" s="18"/>
      <c r="C525" s="18"/>
      <c r="D525" s="18"/>
      <c r="E525" s="18"/>
      <c r="F525" s="18"/>
      <c r="G525" s="18"/>
      <c r="H525" s="18"/>
    </row>
    <row r="526" spans="1:8" ht="14.25" customHeight="1">
      <c r="A526" s="18"/>
      <c r="B526" s="18"/>
      <c r="C526" s="18"/>
      <c r="D526" s="18"/>
      <c r="E526" s="18"/>
      <c r="F526" s="18"/>
      <c r="G526" s="18"/>
      <c r="H526" s="18"/>
    </row>
    <row r="527" spans="1:8" ht="14.25" customHeight="1">
      <c r="A527" s="18"/>
      <c r="B527" s="18"/>
      <c r="C527" s="18"/>
      <c r="D527" s="18"/>
      <c r="E527" s="18"/>
      <c r="F527" s="18"/>
      <c r="G527" s="18"/>
      <c r="H527" s="18"/>
    </row>
    <row r="528" spans="1:8" ht="14.25" customHeight="1">
      <c r="A528" s="18"/>
      <c r="B528" s="18"/>
      <c r="C528" s="18"/>
      <c r="D528" s="18"/>
      <c r="E528" s="18"/>
      <c r="F528" s="18"/>
      <c r="G528" s="18"/>
      <c r="H528" s="18"/>
    </row>
    <row r="529" spans="1:8" ht="14.25" customHeight="1">
      <c r="A529" s="18"/>
      <c r="B529" s="18"/>
      <c r="C529" s="18"/>
      <c r="D529" s="18"/>
      <c r="E529" s="18"/>
      <c r="F529" s="18"/>
      <c r="G529" s="18"/>
      <c r="H529" s="18"/>
    </row>
    <row r="530" spans="1:8" ht="14.25" customHeight="1">
      <c r="A530" s="18"/>
      <c r="B530" s="18"/>
      <c r="C530" s="18"/>
      <c r="D530" s="18"/>
      <c r="E530" s="18"/>
      <c r="F530" s="18"/>
      <c r="G530" s="18"/>
      <c r="H530" s="18"/>
    </row>
    <row r="531" spans="1:8" ht="14.25" customHeight="1">
      <c r="A531" s="18"/>
      <c r="B531" s="18"/>
      <c r="C531" s="18"/>
      <c r="D531" s="18"/>
      <c r="E531" s="18"/>
      <c r="F531" s="18"/>
      <c r="G531" s="18"/>
      <c r="H531" s="18"/>
    </row>
    <row r="532" spans="1:8" ht="14.25" customHeight="1">
      <c r="A532" s="18"/>
      <c r="B532" s="18"/>
      <c r="C532" s="18"/>
      <c r="D532" s="18"/>
      <c r="E532" s="18"/>
      <c r="F532" s="18"/>
      <c r="G532" s="18"/>
      <c r="H532" s="18"/>
    </row>
    <row r="533" spans="1:8" ht="14.25" customHeight="1">
      <c r="A533" s="18"/>
      <c r="B533" s="18"/>
      <c r="C533" s="18"/>
      <c r="D533" s="18"/>
      <c r="E533" s="18"/>
      <c r="F533" s="18"/>
      <c r="G533" s="18"/>
      <c r="H533" s="18"/>
    </row>
    <row r="534" spans="1:8" ht="14.25" customHeight="1">
      <c r="A534" s="18"/>
      <c r="B534" s="18"/>
      <c r="C534" s="18"/>
      <c r="D534" s="18"/>
      <c r="E534" s="18"/>
      <c r="F534" s="18"/>
      <c r="G534" s="18"/>
      <c r="H534" s="18"/>
    </row>
    <row r="535" spans="1:8" ht="14.25" customHeight="1">
      <c r="A535" s="18"/>
      <c r="B535" s="18"/>
      <c r="C535" s="18"/>
      <c r="D535" s="18"/>
      <c r="E535" s="18"/>
      <c r="F535" s="18"/>
      <c r="G535" s="18"/>
      <c r="H535" s="18"/>
    </row>
    <row r="536" spans="1:8" ht="14.25" customHeight="1">
      <c r="A536" s="18"/>
      <c r="B536" s="18"/>
      <c r="C536" s="18"/>
      <c r="D536" s="18"/>
      <c r="E536" s="18"/>
      <c r="F536" s="18"/>
      <c r="G536" s="18"/>
      <c r="H536" s="18"/>
    </row>
    <row r="537" spans="1:8" ht="14.25" customHeight="1">
      <c r="A537" s="18"/>
      <c r="B537" s="18"/>
      <c r="C537" s="18"/>
      <c r="D537" s="18"/>
      <c r="E537" s="18"/>
      <c r="F537" s="18"/>
      <c r="G537" s="18"/>
      <c r="H537" s="18"/>
    </row>
    <row r="538" spans="1:8" ht="14.25" customHeight="1">
      <c r="A538" s="18"/>
      <c r="B538" s="18"/>
      <c r="C538" s="18"/>
      <c r="D538" s="18"/>
      <c r="E538" s="18"/>
      <c r="F538" s="18"/>
      <c r="G538" s="18"/>
      <c r="H538" s="18"/>
    </row>
    <row r="539" spans="1:8" ht="14.25" customHeight="1">
      <c r="A539" s="18"/>
      <c r="B539" s="18"/>
      <c r="C539" s="18"/>
      <c r="D539" s="18"/>
      <c r="E539" s="18"/>
      <c r="F539" s="18"/>
      <c r="G539" s="18"/>
      <c r="H539" s="18"/>
    </row>
    <row r="540" spans="1:8" ht="14.25" customHeight="1">
      <c r="A540" s="18"/>
      <c r="B540" s="18"/>
      <c r="C540" s="18"/>
      <c r="D540" s="18"/>
      <c r="E540" s="18"/>
      <c r="F540" s="18"/>
      <c r="G540" s="18"/>
      <c r="H540" s="18"/>
    </row>
    <row r="541" spans="1:8" ht="14.25" customHeight="1">
      <c r="A541" s="18"/>
      <c r="B541" s="18"/>
      <c r="C541" s="18"/>
      <c r="D541" s="18"/>
      <c r="E541" s="18"/>
      <c r="F541" s="18"/>
      <c r="G541" s="18"/>
      <c r="H541" s="18"/>
    </row>
    <row r="542" spans="1:8" ht="14.25" customHeight="1">
      <c r="A542" s="18"/>
      <c r="B542" s="18"/>
      <c r="C542" s="18"/>
      <c r="D542" s="18"/>
      <c r="E542" s="18"/>
      <c r="F542" s="18"/>
      <c r="G542" s="18"/>
      <c r="H542" s="18"/>
    </row>
    <row r="543" spans="1:8" ht="14.25" customHeight="1">
      <c r="A543" s="18"/>
      <c r="B543" s="18"/>
      <c r="C543" s="18"/>
      <c r="D543" s="18"/>
      <c r="E543" s="18"/>
      <c r="F543" s="18"/>
      <c r="G543" s="18"/>
      <c r="H543" s="18"/>
    </row>
    <row r="544" spans="1:8" ht="14.25" customHeight="1">
      <c r="A544" s="18"/>
      <c r="B544" s="18"/>
      <c r="C544" s="18"/>
      <c r="D544" s="18"/>
      <c r="E544" s="18"/>
      <c r="F544" s="18"/>
      <c r="G544" s="18"/>
      <c r="H544" s="18"/>
    </row>
    <row r="545" spans="1:8" ht="14.25" customHeight="1">
      <c r="A545" s="18"/>
      <c r="B545" s="18"/>
      <c r="C545" s="18"/>
      <c r="D545" s="18"/>
      <c r="E545" s="18"/>
      <c r="F545" s="18"/>
      <c r="G545" s="18"/>
      <c r="H545" s="18"/>
    </row>
    <row r="546" spans="1:8" ht="14.25" customHeight="1">
      <c r="A546" s="18"/>
      <c r="B546" s="18"/>
      <c r="C546" s="18"/>
      <c r="D546" s="18"/>
      <c r="E546" s="18"/>
      <c r="F546" s="18"/>
      <c r="G546" s="18"/>
      <c r="H546" s="18"/>
    </row>
    <row r="547" spans="1:8" ht="14.25" customHeight="1">
      <c r="A547" s="18"/>
      <c r="B547" s="18"/>
      <c r="C547" s="18"/>
      <c r="D547" s="18"/>
      <c r="E547" s="18"/>
      <c r="F547" s="18"/>
      <c r="G547" s="18"/>
      <c r="H547" s="18"/>
    </row>
    <row r="548" spans="1:8" ht="14.25" customHeight="1">
      <c r="A548" s="18"/>
      <c r="B548" s="18"/>
      <c r="C548" s="18"/>
      <c r="D548" s="18"/>
      <c r="E548" s="18"/>
      <c r="F548" s="18"/>
      <c r="G548" s="18"/>
      <c r="H548" s="18"/>
    </row>
    <row r="549" spans="1:8" ht="14.25" customHeight="1">
      <c r="A549" s="18"/>
      <c r="B549" s="18"/>
      <c r="C549" s="18"/>
      <c r="D549" s="18"/>
      <c r="E549" s="18"/>
      <c r="F549" s="18"/>
      <c r="G549" s="18"/>
      <c r="H549" s="18"/>
    </row>
    <row r="550" spans="1:8" ht="14.25" customHeight="1">
      <c r="A550" s="18"/>
      <c r="B550" s="18"/>
      <c r="C550" s="18"/>
      <c r="D550" s="18"/>
      <c r="E550" s="18"/>
      <c r="F550" s="18"/>
      <c r="G550" s="18"/>
      <c r="H550" s="18"/>
    </row>
    <row r="551" spans="1:8" ht="14.25" customHeight="1">
      <c r="A551" s="18"/>
      <c r="B551" s="18"/>
      <c r="C551" s="18"/>
      <c r="D551" s="18"/>
      <c r="E551" s="18"/>
      <c r="F551" s="18"/>
      <c r="G551" s="18"/>
      <c r="H551" s="18"/>
    </row>
    <row r="552" spans="1:8" ht="14.25" customHeight="1">
      <c r="A552" s="18"/>
      <c r="B552" s="18"/>
      <c r="C552" s="18"/>
      <c r="D552" s="18"/>
      <c r="E552" s="18"/>
      <c r="F552" s="18"/>
      <c r="G552" s="18"/>
      <c r="H552" s="18"/>
    </row>
    <row r="553" spans="1:8" ht="14.25" customHeight="1">
      <c r="A553" s="18"/>
      <c r="B553" s="18"/>
      <c r="C553" s="18"/>
      <c r="D553" s="18"/>
      <c r="E553" s="18"/>
      <c r="F553" s="18"/>
      <c r="G553" s="18"/>
      <c r="H553" s="18"/>
    </row>
    <row r="554" spans="1:8" ht="14.25" customHeight="1">
      <c r="A554" s="18"/>
      <c r="B554" s="18"/>
      <c r="C554" s="18"/>
      <c r="D554" s="18"/>
      <c r="E554" s="18"/>
      <c r="F554" s="18"/>
      <c r="G554" s="18"/>
      <c r="H554" s="18"/>
    </row>
    <row r="555" spans="1:8" ht="14.25" customHeight="1">
      <c r="A555" s="18"/>
      <c r="B555" s="18"/>
      <c r="C555" s="18"/>
      <c r="D555" s="18"/>
      <c r="E555" s="18"/>
      <c r="F555" s="18"/>
      <c r="G555" s="18"/>
      <c r="H555" s="18"/>
    </row>
    <row r="556" spans="1:8" ht="14.25" customHeight="1">
      <c r="A556" s="18"/>
      <c r="B556" s="18"/>
      <c r="C556" s="18"/>
      <c r="D556" s="18"/>
      <c r="E556" s="18"/>
      <c r="F556" s="18"/>
      <c r="G556" s="18"/>
      <c r="H556" s="18"/>
    </row>
    <row r="557" spans="1:8" ht="14.25" customHeight="1">
      <c r="A557" s="18"/>
      <c r="B557" s="18"/>
      <c r="C557" s="18"/>
      <c r="D557" s="18"/>
      <c r="E557" s="18"/>
      <c r="F557" s="18"/>
      <c r="G557" s="18"/>
      <c r="H557" s="18"/>
    </row>
    <row r="558" spans="1:8" ht="14.25" customHeight="1">
      <c r="A558" s="18"/>
      <c r="B558" s="18"/>
      <c r="C558" s="18"/>
      <c r="D558" s="18"/>
      <c r="E558" s="18"/>
      <c r="F558" s="18"/>
      <c r="G558" s="18"/>
      <c r="H558" s="18"/>
    </row>
    <row r="559" spans="1:8" ht="14.25" customHeight="1">
      <c r="A559" s="18"/>
      <c r="B559" s="18"/>
      <c r="C559" s="18"/>
      <c r="D559" s="18"/>
      <c r="E559" s="18"/>
      <c r="F559" s="18"/>
      <c r="G559" s="18"/>
      <c r="H559" s="18"/>
    </row>
    <row r="560" spans="1:8" ht="14.25" customHeight="1">
      <c r="A560" s="18"/>
      <c r="B560" s="18"/>
      <c r="C560" s="18"/>
      <c r="D560" s="18"/>
      <c r="E560" s="18"/>
      <c r="F560" s="18"/>
      <c r="G560" s="18"/>
      <c r="H560" s="18"/>
    </row>
    <row r="561" spans="1:8" ht="14.25" customHeight="1">
      <c r="A561" s="18"/>
      <c r="B561" s="18"/>
      <c r="C561" s="18"/>
      <c r="D561" s="18"/>
      <c r="E561" s="18"/>
      <c r="F561" s="18"/>
      <c r="G561" s="18"/>
      <c r="H561" s="18"/>
    </row>
    <row r="562" spans="1:8" ht="14.25" customHeight="1">
      <c r="A562" s="18"/>
      <c r="B562" s="18"/>
      <c r="C562" s="18"/>
      <c r="D562" s="18"/>
      <c r="E562" s="18"/>
      <c r="F562" s="18"/>
      <c r="G562" s="18"/>
      <c r="H562" s="18"/>
    </row>
    <row r="563" spans="1:8" ht="14.25" customHeight="1">
      <c r="A563" s="18"/>
      <c r="B563" s="18"/>
      <c r="C563" s="18"/>
      <c r="D563" s="18"/>
      <c r="E563" s="18"/>
      <c r="F563" s="18"/>
      <c r="G563" s="18"/>
      <c r="H563" s="18"/>
    </row>
    <row r="564" spans="1:8" ht="14.25" customHeight="1">
      <c r="A564" s="18"/>
      <c r="B564" s="18"/>
      <c r="C564" s="18"/>
      <c r="D564" s="18"/>
      <c r="E564" s="18"/>
      <c r="F564" s="18"/>
      <c r="G564" s="18"/>
      <c r="H564" s="18"/>
    </row>
    <row r="565" spans="1:8" ht="14.25" customHeight="1">
      <c r="A565" s="18"/>
      <c r="B565" s="18"/>
      <c r="C565" s="18"/>
      <c r="D565" s="18"/>
      <c r="E565" s="18"/>
      <c r="F565" s="18"/>
      <c r="G565" s="18"/>
      <c r="H565" s="18"/>
    </row>
    <row r="566" spans="1:8" ht="14.25" customHeight="1">
      <c r="A566" s="18"/>
      <c r="B566" s="18"/>
      <c r="C566" s="18"/>
      <c r="D566" s="18"/>
      <c r="E566" s="18"/>
      <c r="F566" s="18"/>
      <c r="G566" s="18"/>
      <c r="H566" s="18"/>
    </row>
    <row r="567" spans="1:8" ht="14.25" customHeight="1">
      <c r="A567" s="18"/>
      <c r="B567" s="18"/>
      <c r="C567" s="18"/>
      <c r="D567" s="18"/>
      <c r="E567" s="18"/>
      <c r="F567" s="18"/>
      <c r="G567" s="18"/>
      <c r="H567" s="18"/>
    </row>
    <row r="568" spans="1:8" ht="14.25" customHeight="1">
      <c r="A568" s="18"/>
      <c r="B568" s="18"/>
      <c r="C568" s="18"/>
      <c r="D568" s="18"/>
      <c r="E568" s="18"/>
      <c r="F568" s="18"/>
      <c r="G568" s="18"/>
      <c r="H568" s="18"/>
    </row>
    <row r="569" spans="1:8" ht="14.25" customHeight="1">
      <c r="A569" s="18"/>
      <c r="B569" s="18"/>
      <c r="C569" s="18"/>
      <c r="D569" s="18"/>
      <c r="E569" s="18"/>
      <c r="F569" s="18"/>
      <c r="G569" s="18"/>
      <c r="H569" s="18"/>
    </row>
    <row r="570" spans="1:8" ht="14.25" customHeight="1">
      <c r="A570" s="18"/>
      <c r="B570" s="18"/>
      <c r="C570" s="18"/>
      <c r="D570" s="18"/>
      <c r="E570" s="18"/>
      <c r="F570" s="18"/>
      <c r="G570" s="18"/>
      <c r="H570" s="18"/>
    </row>
    <row r="571" spans="1:8" ht="14.25" customHeight="1">
      <c r="A571" s="18"/>
      <c r="B571" s="18"/>
      <c r="C571" s="18"/>
      <c r="D571" s="18"/>
      <c r="E571" s="18"/>
      <c r="F571" s="18"/>
      <c r="G571" s="18"/>
      <c r="H571" s="18"/>
    </row>
    <row r="572" spans="1:8" ht="14.25" customHeight="1">
      <c r="A572" s="18"/>
      <c r="B572" s="18"/>
      <c r="C572" s="18"/>
      <c r="D572" s="18"/>
      <c r="E572" s="18"/>
      <c r="F572" s="18"/>
      <c r="G572" s="18"/>
      <c r="H572" s="18"/>
    </row>
    <row r="573" spans="1:8" ht="14.25" customHeight="1">
      <c r="A573" s="18"/>
      <c r="B573" s="18"/>
      <c r="C573" s="18"/>
      <c r="D573" s="18"/>
      <c r="E573" s="18"/>
      <c r="F573" s="18"/>
      <c r="G573" s="18"/>
      <c r="H573" s="18"/>
    </row>
    <row r="574" spans="1:8" ht="14.25" customHeight="1">
      <c r="A574" s="18"/>
      <c r="B574" s="18"/>
      <c r="C574" s="18"/>
      <c r="D574" s="18"/>
      <c r="E574" s="18"/>
      <c r="F574" s="18"/>
      <c r="G574" s="18"/>
      <c r="H574" s="18"/>
    </row>
    <row r="575" spans="1:8" ht="14.25" customHeight="1">
      <c r="A575" s="18"/>
      <c r="B575" s="18"/>
      <c r="C575" s="18"/>
      <c r="D575" s="18"/>
      <c r="E575" s="18"/>
      <c r="F575" s="18"/>
      <c r="G575" s="18"/>
      <c r="H575" s="18"/>
    </row>
    <row r="576" spans="1:8" ht="14.25" customHeight="1">
      <c r="A576" s="18"/>
      <c r="B576" s="18"/>
      <c r="C576" s="18"/>
      <c r="D576" s="18"/>
      <c r="E576" s="18"/>
      <c r="F576" s="18"/>
      <c r="G576" s="18"/>
      <c r="H576" s="18"/>
    </row>
    <row r="577" spans="1:8" ht="14.25" customHeight="1">
      <c r="A577" s="18"/>
      <c r="B577" s="18"/>
      <c r="C577" s="18"/>
      <c r="D577" s="18"/>
      <c r="E577" s="18"/>
      <c r="F577" s="18"/>
      <c r="G577" s="18"/>
      <c r="H577" s="18"/>
    </row>
    <row r="578" spans="1:8" ht="14.25" customHeight="1">
      <c r="A578" s="18"/>
      <c r="B578" s="18"/>
      <c r="C578" s="18"/>
      <c r="D578" s="18"/>
      <c r="E578" s="18"/>
      <c r="F578" s="18"/>
      <c r="G578" s="18"/>
      <c r="H578" s="18"/>
    </row>
    <row r="579" spans="1:8" ht="14.25" customHeight="1">
      <c r="A579" s="18"/>
      <c r="B579" s="18"/>
      <c r="C579" s="18"/>
      <c r="D579" s="18"/>
      <c r="E579" s="18"/>
      <c r="F579" s="18"/>
      <c r="G579" s="18"/>
      <c r="H579" s="18"/>
    </row>
    <row r="580" spans="1:8" ht="14.25" customHeight="1">
      <c r="A580" s="18"/>
      <c r="B580" s="18"/>
      <c r="C580" s="18"/>
      <c r="D580" s="18"/>
      <c r="E580" s="18"/>
      <c r="F580" s="18"/>
      <c r="G580" s="18"/>
      <c r="H580" s="18"/>
    </row>
    <row r="581" spans="1:8" ht="14.25" customHeight="1">
      <c r="A581" s="18"/>
      <c r="B581" s="18"/>
      <c r="C581" s="18"/>
      <c r="D581" s="18"/>
      <c r="E581" s="18"/>
      <c r="F581" s="18"/>
      <c r="G581" s="18"/>
      <c r="H581" s="18"/>
    </row>
    <row r="582" spans="1:8" ht="14.25" customHeight="1">
      <c r="A582" s="18"/>
      <c r="B582" s="18"/>
      <c r="C582" s="18"/>
      <c r="D582" s="18"/>
      <c r="E582" s="18"/>
      <c r="F582" s="18"/>
      <c r="G582" s="18"/>
      <c r="H582" s="18"/>
    </row>
    <row r="583" spans="1:8" ht="14.25" customHeight="1">
      <c r="A583" s="18"/>
      <c r="B583" s="18"/>
      <c r="C583" s="18"/>
      <c r="D583" s="18"/>
      <c r="E583" s="18"/>
      <c r="F583" s="18"/>
      <c r="G583" s="18"/>
      <c r="H583" s="18"/>
    </row>
    <row r="584" spans="1:8" ht="14.25" customHeight="1">
      <c r="A584" s="18"/>
      <c r="B584" s="18"/>
      <c r="C584" s="18"/>
      <c r="D584" s="18"/>
      <c r="E584" s="18"/>
      <c r="F584" s="18"/>
      <c r="G584" s="18"/>
      <c r="H584" s="18"/>
    </row>
    <row r="585" spans="1:8" ht="14.25" customHeight="1">
      <c r="A585" s="18"/>
      <c r="B585" s="18"/>
      <c r="C585" s="18"/>
      <c r="D585" s="18"/>
      <c r="E585" s="18"/>
      <c r="F585" s="18"/>
      <c r="G585" s="18"/>
      <c r="H585" s="18"/>
    </row>
    <row r="586" spans="1:8" ht="14.25" customHeight="1">
      <c r="A586" s="18"/>
      <c r="B586" s="18"/>
      <c r="C586" s="18"/>
      <c r="D586" s="18"/>
      <c r="E586" s="18"/>
      <c r="F586" s="18"/>
      <c r="G586" s="18"/>
      <c r="H586" s="18"/>
    </row>
    <row r="587" spans="1:8" ht="14.25" customHeight="1">
      <c r="A587" s="18"/>
      <c r="B587" s="18"/>
      <c r="C587" s="18"/>
      <c r="D587" s="18"/>
      <c r="E587" s="18"/>
      <c r="F587" s="18"/>
      <c r="G587" s="18"/>
      <c r="H587" s="18"/>
    </row>
    <row r="588" spans="1:8" ht="14.25" customHeight="1">
      <c r="A588" s="18"/>
      <c r="B588" s="18"/>
      <c r="C588" s="18"/>
      <c r="D588" s="18"/>
      <c r="E588" s="18"/>
      <c r="F588" s="18"/>
      <c r="G588" s="18"/>
      <c r="H588" s="18"/>
    </row>
    <row r="589" spans="1:8" ht="14.25" customHeight="1">
      <c r="A589" s="18"/>
      <c r="B589" s="18"/>
      <c r="C589" s="18"/>
      <c r="D589" s="18"/>
      <c r="E589" s="18"/>
      <c r="F589" s="18"/>
      <c r="G589" s="18"/>
      <c r="H589" s="18"/>
    </row>
    <row r="590" spans="1:8" ht="14.25" customHeight="1">
      <c r="A590" s="18"/>
      <c r="B590" s="18"/>
      <c r="C590" s="18"/>
      <c r="D590" s="18"/>
      <c r="E590" s="18"/>
      <c r="F590" s="18"/>
      <c r="G590" s="18"/>
      <c r="H590" s="18"/>
    </row>
    <row r="591" spans="1:8" ht="14.25" customHeight="1">
      <c r="A591" s="18"/>
      <c r="B591" s="18"/>
      <c r="C591" s="18"/>
      <c r="D591" s="18"/>
      <c r="E591" s="18"/>
      <c r="F591" s="18"/>
      <c r="G591" s="18"/>
      <c r="H591" s="18"/>
    </row>
    <row r="592" spans="1:8" ht="14.25" customHeight="1">
      <c r="A592" s="18"/>
      <c r="B592" s="18"/>
      <c r="C592" s="18"/>
      <c r="D592" s="18"/>
      <c r="E592" s="18"/>
      <c r="F592" s="18"/>
      <c r="G592" s="18"/>
      <c r="H592" s="18"/>
    </row>
    <row r="593" spans="1:8" ht="14.25" customHeight="1">
      <c r="A593" s="18"/>
      <c r="B593" s="18"/>
      <c r="C593" s="18"/>
      <c r="D593" s="18"/>
      <c r="E593" s="18"/>
      <c r="F593" s="18"/>
      <c r="G593" s="18"/>
      <c r="H593" s="18"/>
    </row>
    <row r="594" spans="1:8" ht="14.25" customHeight="1">
      <c r="A594" s="18"/>
      <c r="B594" s="18"/>
      <c r="C594" s="18"/>
      <c r="D594" s="18"/>
      <c r="E594" s="18"/>
      <c r="F594" s="18"/>
      <c r="G594" s="18"/>
      <c r="H594" s="18"/>
    </row>
    <row r="595" spans="1:8" ht="14.25" customHeight="1">
      <c r="A595" s="18"/>
      <c r="B595" s="18"/>
      <c r="C595" s="18"/>
      <c r="D595" s="18"/>
      <c r="E595" s="18"/>
      <c r="F595" s="18"/>
      <c r="G595" s="18"/>
      <c r="H595" s="18"/>
    </row>
    <row r="596" spans="1:8" ht="14.25" customHeight="1">
      <c r="A596" s="18"/>
      <c r="B596" s="18"/>
      <c r="C596" s="18"/>
      <c r="D596" s="18"/>
      <c r="E596" s="18"/>
      <c r="F596" s="18"/>
      <c r="G596" s="18"/>
      <c r="H596" s="18"/>
    </row>
    <row r="597" spans="1:8" ht="14.25" customHeight="1">
      <c r="A597" s="18"/>
      <c r="B597" s="18"/>
      <c r="C597" s="18"/>
      <c r="D597" s="18"/>
      <c r="E597" s="18"/>
      <c r="F597" s="18"/>
      <c r="G597" s="18"/>
      <c r="H597" s="18"/>
    </row>
    <row r="598" spans="1:8" ht="14.25" customHeight="1">
      <c r="A598" s="18"/>
      <c r="B598" s="18"/>
      <c r="C598" s="18"/>
      <c r="D598" s="18"/>
      <c r="E598" s="18"/>
      <c r="F598" s="18"/>
      <c r="G598" s="18"/>
      <c r="H598" s="18"/>
    </row>
    <row r="599" spans="1:8" ht="14.25" customHeight="1">
      <c r="A599" s="18"/>
      <c r="B599" s="18"/>
      <c r="C599" s="18"/>
      <c r="D599" s="18"/>
      <c r="E599" s="18"/>
      <c r="F599" s="18"/>
      <c r="G599" s="18"/>
      <c r="H599" s="18"/>
    </row>
    <row r="600" spans="1:8" ht="14.25" customHeight="1">
      <c r="A600" s="18"/>
      <c r="B600" s="18"/>
      <c r="C600" s="18"/>
      <c r="D600" s="18"/>
      <c r="E600" s="18"/>
      <c r="F600" s="18"/>
      <c r="G600" s="18"/>
      <c r="H600" s="18"/>
    </row>
    <row r="601" spans="1:8" ht="14.25" customHeight="1">
      <c r="A601" s="18"/>
      <c r="B601" s="18"/>
      <c r="C601" s="18"/>
      <c r="D601" s="18"/>
      <c r="E601" s="18"/>
      <c r="F601" s="18"/>
      <c r="G601" s="18"/>
      <c r="H601" s="18"/>
    </row>
    <row r="602" spans="1:8" ht="14.25" customHeight="1">
      <c r="A602" s="18"/>
      <c r="B602" s="18"/>
      <c r="C602" s="18"/>
      <c r="D602" s="18"/>
      <c r="E602" s="18"/>
      <c r="F602" s="18"/>
      <c r="G602" s="18"/>
      <c r="H602" s="18"/>
    </row>
    <row r="603" spans="1:8" ht="14.25" customHeight="1">
      <c r="A603" s="18"/>
      <c r="B603" s="18"/>
      <c r="C603" s="18"/>
      <c r="D603" s="18"/>
      <c r="E603" s="18"/>
      <c r="F603" s="18"/>
      <c r="G603" s="18"/>
      <c r="H603" s="18"/>
    </row>
    <row r="604" spans="1:8" ht="14.25" customHeight="1">
      <c r="A604" s="18"/>
      <c r="B604" s="18"/>
      <c r="C604" s="18"/>
      <c r="D604" s="18"/>
      <c r="E604" s="18"/>
      <c r="F604" s="18"/>
      <c r="G604" s="18"/>
      <c r="H604" s="18"/>
    </row>
    <row r="605" spans="1:8" ht="14.25" customHeight="1">
      <c r="A605" s="18"/>
      <c r="B605" s="18"/>
      <c r="C605" s="18"/>
      <c r="D605" s="18"/>
      <c r="E605" s="18"/>
      <c r="F605" s="18"/>
      <c r="G605" s="18"/>
      <c r="H605" s="18"/>
    </row>
    <row r="606" spans="1:8" ht="14.25" customHeight="1">
      <c r="A606" s="18"/>
      <c r="B606" s="18"/>
      <c r="C606" s="18"/>
      <c r="D606" s="18"/>
      <c r="E606" s="18"/>
      <c r="F606" s="18"/>
      <c r="G606" s="18"/>
      <c r="H606" s="18"/>
    </row>
    <row r="607" spans="1:8" ht="14.25" customHeight="1">
      <c r="A607" s="18"/>
      <c r="B607" s="18"/>
      <c r="C607" s="18"/>
      <c r="D607" s="18"/>
      <c r="E607" s="18"/>
      <c r="F607" s="18"/>
      <c r="G607" s="18"/>
      <c r="H607" s="18"/>
    </row>
    <row r="608" spans="1:8" ht="14.25" customHeight="1">
      <c r="A608" s="18"/>
      <c r="B608" s="18"/>
      <c r="C608" s="18"/>
      <c r="D608" s="18"/>
      <c r="E608" s="18"/>
      <c r="F608" s="18"/>
      <c r="G608" s="18"/>
      <c r="H608" s="18"/>
    </row>
    <row r="609" spans="1:8" ht="14.25" customHeight="1">
      <c r="A609" s="18"/>
      <c r="B609" s="18"/>
      <c r="C609" s="18"/>
      <c r="D609" s="18"/>
      <c r="E609" s="18"/>
      <c r="F609" s="18"/>
      <c r="G609" s="18"/>
      <c r="H609" s="18"/>
    </row>
    <row r="610" spans="1:8" ht="14.25" customHeight="1">
      <c r="A610" s="18"/>
      <c r="B610" s="18"/>
      <c r="C610" s="18"/>
      <c r="D610" s="18"/>
      <c r="E610" s="18"/>
      <c r="F610" s="18"/>
      <c r="G610" s="18"/>
      <c r="H610" s="18"/>
    </row>
    <row r="611" spans="1:8" ht="14.25" customHeight="1">
      <c r="A611" s="18"/>
      <c r="B611" s="18"/>
      <c r="C611" s="18"/>
      <c r="D611" s="18"/>
      <c r="E611" s="18"/>
      <c r="F611" s="18"/>
      <c r="G611" s="18"/>
      <c r="H611" s="18"/>
    </row>
    <row r="612" spans="1:8" ht="14.25" customHeight="1">
      <c r="A612" s="18"/>
      <c r="B612" s="18"/>
      <c r="C612" s="18"/>
      <c r="D612" s="18"/>
      <c r="E612" s="18"/>
      <c r="F612" s="18"/>
      <c r="G612" s="18"/>
      <c r="H612" s="18"/>
    </row>
    <row r="613" spans="1:8" ht="14.25" customHeight="1">
      <c r="A613" s="18"/>
      <c r="B613" s="18"/>
      <c r="C613" s="18"/>
      <c r="D613" s="18"/>
      <c r="E613" s="18"/>
      <c r="F613" s="18"/>
      <c r="G613" s="18"/>
      <c r="H613" s="18"/>
    </row>
    <row r="614" spans="1:8" ht="14.25" customHeight="1">
      <c r="A614" s="18"/>
      <c r="B614" s="18"/>
      <c r="C614" s="18"/>
      <c r="D614" s="18"/>
      <c r="E614" s="18"/>
      <c r="F614" s="18"/>
      <c r="G614" s="18"/>
      <c r="H614" s="18"/>
    </row>
    <row r="615" spans="1:8" ht="14.25" customHeight="1">
      <c r="A615" s="18"/>
      <c r="B615" s="18"/>
      <c r="C615" s="18"/>
      <c r="D615" s="18"/>
      <c r="E615" s="18"/>
      <c r="F615" s="18"/>
      <c r="G615" s="18"/>
      <c r="H615" s="18"/>
    </row>
    <row r="616" spans="1:8" ht="14.25" customHeight="1">
      <c r="A616" s="18"/>
      <c r="B616" s="18"/>
      <c r="C616" s="18"/>
      <c r="D616" s="18"/>
      <c r="E616" s="18"/>
      <c r="F616" s="18"/>
      <c r="G616" s="18"/>
      <c r="H616" s="18"/>
    </row>
    <row r="617" spans="1:8" ht="14.25" customHeight="1">
      <c r="A617" s="18"/>
      <c r="B617" s="18"/>
      <c r="C617" s="18"/>
      <c r="D617" s="18"/>
      <c r="E617" s="18"/>
      <c r="F617" s="18"/>
      <c r="G617" s="18"/>
      <c r="H617" s="18"/>
    </row>
    <row r="618" spans="1:8" ht="14.25" customHeight="1">
      <c r="A618" s="18"/>
      <c r="B618" s="18"/>
      <c r="C618" s="18"/>
      <c r="D618" s="18"/>
      <c r="E618" s="18"/>
      <c r="F618" s="18"/>
      <c r="G618" s="18"/>
      <c r="H618" s="18"/>
    </row>
    <row r="619" spans="1:8" ht="14.25" customHeight="1">
      <c r="A619" s="18"/>
      <c r="B619" s="18"/>
      <c r="C619" s="18"/>
      <c r="D619" s="18"/>
      <c r="E619" s="18"/>
      <c r="F619" s="18"/>
      <c r="G619" s="18"/>
      <c r="H619" s="18"/>
    </row>
    <row r="620" spans="1:8" ht="14.25" customHeight="1">
      <c r="A620" s="18"/>
      <c r="B620" s="18"/>
      <c r="C620" s="18"/>
      <c r="D620" s="18"/>
      <c r="E620" s="18"/>
      <c r="F620" s="18"/>
      <c r="G620" s="18"/>
      <c r="H620" s="18"/>
    </row>
    <row r="621" spans="1:8" ht="14.25" customHeight="1">
      <c r="A621" s="18"/>
      <c r="B621" s="18"/>
      <c r="C621" s="18"/>
      <c r="D621" s="18"/>
      <c r="E621" s="18"/>
      <c r="F621" s="18"/>
      <c r="G621" s="18"/>
      <c r="H621" s="18"/>
    </row>
    <row r="622" spans="1:8" ht="14.25" customHeight="1">
      <c r="A622" s="18"/>
      <c r="B622" s="18"/>
      <c r="C622" s="18"/>
      <c r="D622" s="18"/>
      <c r="E622" s="18"/>
      <c r="F622" s="18"/>
      <c r="G622" s="18"/>
      <c r="H622" s="18"/>
    </row>
    <row r="623" spans="1:8" ht="14.25" customHeight="1">
      <c r="A623" s="18"/>
      <c r="B623" s="18"/>
      <c r="C623" s="18"/>
      <c r="D623" s="18"/>
      <c r="E623" s="18"/>
      <c r="F623" s="18"/>
      <c r="G623" s="18"/>
      <c r="H623" s="18"/>
    </row>
    <row r="624" spans="1:8" ht="14.25" customHeight="1">
      <c r="A624" s="18"/>
      <c r="B624" s="18"/>
      <c r="C624" s="18"/>
      <c r="D624" s="18"/>
      <c r="E624" s="18"/>
      <c r="F624" s="18"/>
      <c r="G624" s="18"/>
      <c r="H624" s="18"/>
    </row>
    <row r="625" spans="1:8" ht="14.25" customHeight="1">
      <c r="A625" s="18"/>
      <c r="B625" s="18"/>
      <c r="C625" s="18"/>
      <c r="D625" s="18"/>
      <c r="E625" s="18"/>
      <c r="F625" s="18"/>
      <c r="G625" s="18"/>
      <c r="H625" s="18"/>
    </row>
    <row r="626" spans="1:8" ht="14.25" customHeight="1">
      <c r="A626" s="18"/>
      <c r="B626" s="18"/>
      <c r="C626" s="18"/>
      <c r="D626" s="18"/>
      <c r="E626" s="18"/>
      <c r="F626" s="18"/>
      <c r="G626" s="18"/>
      <c r="H626" s="18"/>
    </row>
    <row r="627" spans="1:8" ht="14.25" customHeight="1">
      <c r="A627" s="18"/>
      <c r="B627" s="18"/>
      <c r="C627" s="18"/>
      <c r="D627" s="18"/>
      <c r="E627" s="18"/>
      <c r="F627" s="18"/>
      <c r="G627" s="18"/>
      <c r="H627" s="18"/>
    </row>
    <row r="628" spans="1:8" ht="14.25" customHeight="1">
      <c r="A628" s="18"/>
      <c r="B628" s="18"/>
      <c r="C628" s="18"/>
      <c r="D628" s="18"/>
      <c r="E628" s="18"/>
      <c r="F628" s="18"/>
      <c r="G628" s="18"/>
      <c r="H628" s="18"/>
    </row>
    <row r="629" spans="1:8" ht="14.25" customHeight="1">
      <c r="A629" s="18"/>
      <c r="B629" s="18"/>
      <c r="C629" s="18"/>
      <c r="D629" s="18"/>
      <c r="E629" s="18"/>
      <c r="F629" s="18"/>
      <c r="G629" s="18"/>
      <c r="H629" s="18"/>
    </row>
    <row r="630" spans="1:8" ht="14.25" customHeight="1">
      <c r="A630" s="18"/>
      <c r="B630" s="18"/>
      <c r="C630" s="18"/>
      <c r="D630" s="18"/>
      <c r="E630" s="18"/>
      <c r="F630" s="18"/>
      <c r="G630" s="18"/>
      <c r="H630" s="18"/>
    </row>
    <row r="631" spans="1:8" ht="14.25" customHeight="1">
      <c r="A631" s="18"/>
      <c r="B631" s="18"/>
      <c r="C631" s="18"/>
      <c r="D631" s="18"/>
      <c r="E631" s="18"/>
      <c r="F631" s="18"/>
      <c r="G631" s="18"/>
      <c r="H631" s="18"/>
    </row>
    <row r="632" spans="1:8" ht="14.25" customHeight="1">
      <c r="A632" s="18"/>
      <c r="B632" s="18"/>
      <c r="C632" s="18"/>
      <c r="D632" s="18"/>
      <c r="E632" s="18"/>
      <c r="F632" s="18"/>
      <c r="G632" s="18"/>
      <c r="H632" s="18"/>
    </row>
    <row r="633" spans="1:8" ht="14.25" customHeight="1">
      <c r="A633" s="18"/>
      <c r="B633" s="18"/>
      <c r="C633" s="18"/>
      <c r="D633" s="18"/>
      <c r="E633" s="18"/>
      <c r="F633" s="18"/>
      <c r="G633" s="18"/>
      <c r="H633" s="18"/>
    </row>
    <row r="634" spans="1:8" ht="14.25" customHeight="1">
      <c r="A634" s="18"/>
      <c r="B634" s="18"/>
      <c r="C634" s="18"/>
      <c r="D634" s="18"/>
      <c r="E634" s="18"/>
      <c r="F634" s="18"/>
      <c r="G634" s="18"/>
      <c r="H634" s="18"/>
    </row>
    <row r="635" spans="1:8" ht="14.25" customHeight="1">
      <c r="A635" s="18"/>
      <c r="B635" s="18"/>
      <c r="C635" s="18"/>
      <c r="D635" s="18"/>
      <c r="E635" s="18"/>
      <c r="F635" s="18"/>
      <c r="G635" s="18"/>
      <c r="H635" s="18"/>
    </row>
    <row r="636" spans="1:8" ht="14.25" customHeight="1">
      <c r="A636" s="18"/>
      <c r="B636" s="18"/>
      <c r="C636" s="18"/>
      <c r="D636" s="18"/>
      <c r="E636" s="18"/>
      <c r="F636" s="18"/>
      <c r="G636" s="18"/>
      <c r="H636" s="18"/>
    </row>
    <row r="637" spans="1:8" ht="14.25" customHeight="1">
      <c r="A637" s="18"/>
      <c r="B637" s="18"/>
      <c r="C637" s="18"/>
      <c r="D637" s="18"/>
      <c r="E637" s="18"/>
      <c r="F637" s="18"/>
      <c r="G637" s="18"/>
      <c r="H637" s="18"/>
    </row>
    <row r="638" spans="1:8" ht="14.25" customHeight="1">
      <c r="A638" s="18"/>
      <c r="B638" s="18"/>
      <c r="C638" s="18"/>
      <c r="D638" s="18"/>
      <c r="E638" s="18"/>
      <c r="F638" s="18"/>
      <c r="G638" s="18"/>
      <c r="H638" s="18"/>
    </row>
    <row r="639" spans="1:8" ht="14.25" customHeight="1">
      <c r="A639" s="18"/>
      <c r="B639" s="18"/>
      <c r="C639" s="18"/>
      <c r="D639" s="18"/>
      <c r="E639" s="18"/>
      <c r="F639" s="18"/>
      <c r="G639" s="18"/>
      <c r="H639" s="18"/>
    </row>
    <row r="640" spans="1:8" ht="14.25" customHeight="1">
      <c r="A640" s="18"/>
      <c r="B640" s="18"/>
      <c r="C640" s="18"/>
      <c r="D640" s="18"/>
      <c r="E640" s="18"/>
      <c r="F640" s="18"/>
      <c r="G640" s="18"/>
      <c r="H640" s="18"/>
    </row>
    <row r="641" spans="1:8" ht="14.25" customHeight="1">
      <c r="A641" s="18"/>
      <c r="B641" s="18"/>
      <c r="C641" s="18"/>
      <c r="D641" s="18"/>
      <c r="E641" s="18"/>
      <c r="F641" s="18"/>
      <c r="G641" s="18"/>
      <c r="H641" s="18"/>
    </row>
    <row r="642" spans="1:8" ht="14.25" customHeight="1">
      <c r="A642" s="18"/>
      <c r="B642" s="18"/>
      <c r="C642" s="18"/>
      <c r="D642" s="18"/>
      <c r="E642" s="18"/>
      <c r="F642" s="18"/>
      <c r="G642" s="18"/>
      <c r="H642" s="18"/>
    </row>
    <row r="643" spans="1:8" ht="14.25" customHeight="1">
      <c r="A643" s="18"/>
      <c r="B643" s="18"/>
      <c r="C643" s="18"/>
      <c r="D643" s="18"/>
      <c r="E643" s="18"/>
      <c r="F643" s="18"/>
      <c r="G643" s="18"/>
      <c r="H643" s="18"/>
    </row>
    <row r="644" spans="1:8" ht="14.25" customHeight="1">
      <c r="A644" s="18"/>
      <c r="B644" s="18"/>
      <c r="C644" s="18"/>
      <c r="D644" s="18"/>
      <c r="E644" s="18"/>
      <c r="F644" s="18"/>
      <c r="G644" s="18"/>
      <c r="H644" s="18"/>
    </row>
    <row r="645" spans="1:8" ht="14.25" customHeight="1">
      <c r="A645" s="18"/>
      <c r="B645" s="18"/>
      <c r="C645" s="18"/>
      <c r="D645" s="18"/>
      <c r="E645" s="18"/>
      <c r="F645" s="18"/>
      <c r="G645" s="18"/>
      <c r="H645" s="18"/>
    </row>
    <row r="646" spans="1:8" ht="14.25" customHeight="1">
      <c r="A646" s="18"/>
      <c r="B646" s="18"/>
      <c r="C646" s="18"/>
      <c r="D646" s="18"/>
      <c r="E646" s="18"/>
      <c r="F646" s="18"/>
      <c r="G646" s="18"/>
      <c r="H646" s="18"/>
    </row>
    <row r="647" spans="1:8" ht="14.25" customHeight="1">
      <c r="A647" s="18"/>
      <c r="B647" s="18"/>
      <c r="C647" s="18"/>
      <c r="D647" s="18"/>
      <c r="E647" s="18"/>
      <c r="F647" s="18"/>
      <c r="G647" s="18"/>
      <c r="H647" s="18"/>
    </row>
    <row r="648" spans="1:8" ht="14.25" customHeight="1">
      <c r="A648" s="18"/>
      <c r="B648" s="18"/>
      <c r="C648" s="18"/>
      <c r="D648" s="18"/>
      <c r="E648" s="18"/>
      <c r="F648" s="18"/>
      <c r="G648" s="18"/>
      <c r="H648" s="18"/>
    </row>
    <row r="649" spans="1:8" ht="14.25" customHeight="1">
      <c r="A649" s="18"/>
      <c r="B649" s="18"/>
      <c r="C649" s="18"/>
      <c r="D649" s="18"/>
      <c r="E649" s="18"/>
      <c r="F649" s="18"/>
      <c r="G649" s="18"/>
      <c r="H649" s="18"/>
    </row>
    <row r="650" spans="1:8" ht="14.25" customHeight="1">
      <c r="A650" s="18"/>
      <c r="B650" s="18"/>
      <c r="C650" s="18"/>
      <c r="D650" s="18"/>
      <c r="E650" s="18"/>
      <c r="F650" s="18"/>
      <c r="G650" s="18"/>
      <c r="H650" s="18"/>
    </row>
    <row r="651" spans="1:8" ht="14.25" customHeight="1">
      <c r="A651" s="18"/>
      <c r="B651" s="18"/>
      <c r="C651" s="18"/>
      <c r="D651" s="18"/>
      <c r="E651" s="18"/>
      <c r="F651" s="18"/>
      <c r="G651" s="18"/>
      <c r="H651" s="18"/>
    </row>
    <row r="652" spans="1:8" ht="14.25" customHeight="1">
      <c r="A652" s="18"/>
      <c r="B652" s="18"/>
      <c r="C652" s="18"/>
      <c r="D652" s="18"/>
      <c r="E652" s="18"/>
      <c r="F652" s="18"/>
      <c r="G652" s="18"/>
      <c r="H652" s="18"/>
    </row>
    <row r="653" spans="1:8" ht="14.25" customHeight="1">
      <c r="A653" s="18"/>
      <c r="B653" s="18"/>
      <c r="C653" s="18"/>
      <c r="D653" s="18"/>
      <c r="E653" s="18"/>
      <c r="F653" s="18"/>
      <c r="G653" s="18"/>
      <c r="H653" s="18"/>
    </row>
    <row r="654" spans="1:8" ht="14.25" customHeight="1">
      <c r="A654" s="18"/>
      <c r="B654" s="18"/>
      <c r="C654" s="18"/>
      <c r="D654" s="18"/>
      <c r="E654" s="18"/>
      <c r="F654" s="18"/>
      <c r="G654" s="18"/>
      <c r="H654" s="18"/>
    </row>
    <row r="655" spans="1:8" ht="14.25" customHeight="1">
      <c r="A655" s="18"/>
      <c r="B655" s="18"/>
      <c r="C655" s="18"/>
      <c r="D655" s="18"/>
      <c r="E655" s="18"/>
      <c r="F655" s="18"/>
      <c r="G655" s="18"/>
      <c r="H655" s="18"/>
    </row>
    <row r="656" spans="1:8" ht="14.25" customHeight="1">
      <c r="A656" s="18"/>
      <c r="B656" s="18"/>
      <c r="C656" s="18"/>
      <c r="D656" s="18"/>
      <c r="E656" s="18"/>
      <c r="F656" s="18"/>
      <c r="G656" s="18"/>
      <c r="H656" s="18"/>
    </row>
    <row r="657" spans="1:8" ht="14.25" customHeight="1">
      <c r="A657" s="18"/>
      <c r="B657" s="18"/>
      <c r="C657" s="18"/>
      <c r="D657" s="18"/>
      <c r="E657" s="18"/>
      <c r="F657" s="18"/>
      <c r="G657" s="18"/>
      <c r="H657" s="18"/>
    </row>
    <row r="658" spans="1:8" ht="14.25" customHeight="1">
      <c r="A658" s="18"/>
      <c r="B658" s="18"/>
      <c r="C658" s="18"/>
      <c r="D658" s="18"/>
      <c r="E658" s="18"/>
      <c r="F658" s="18"/>
      <c r="G658" s="18"/>
      <c r="H658" s="18"/>
    </row>
    <row r="659" spans="1:8" ht="14.25" customHeight="1">
      <c r="A659" s="18"/>
      <c r="B659" s="18"/>
      <c r="C659" s="18"/>
      <c r="D659" s="18"/>
      <c r="E659" s="18"/>
      <c r="F659" s="18"/>
      <c r="G659" s="18"/>
      <c r="H659" s="18"/>
    </row>
    <row r="660" spans="1:8" ht="14.25" customHeight="1">
      <c r="A660" s="18"/>
      <c r="B660" s="18"/>
      <c r="C660" s="18"/>
      <c r="D660" s="18"/>
      <c r="E660" s="18"/>
      <c r="F660" s="18"/>
      <c r="G660" s="18"/>
      <c r="H660" s="18"/>
    </row>
    <row r="661" spans="1:8" ht="14.25" customHeight="1">
      <c r="A661" s="18"/>
      <c r="B661" s="18"/>
      <c r="C661" s="18"/>
      <c r="D661" s="18"/>
      <c r="E661" s="18"/>
      <c r="F661" s="18"/>
      <c r="G661" s="18"/>
      <c r="H661" s="18"/>
    </row>
    <row r="662" spans="1:8" ht="14.25" customHeight="1">
      <c r="A662" s="18"/>
      <c r="B662" s="18"/>
      <c r="C662" s="18"/>
      <c r="D662" s="18"/>
      <c r="E662" s="18"/>
      <c r="F662" s="18"/>
      <c r="G662" s="18"/>
      <c r="H662" s="18"/>
    </row>
    <row r="663" spans="1:8" ht="14.25" customHeight="1">
      <c r="A663" s="18"/>
      <c r="B663" s="18"/>
      <c r="C663" s="18"/>
      <c r="D663" s="18"/>
      <c r="E663" s="18"/>
      <c r="F663" s="18"/>
      <c r="G663" s="18"/>
      <c r="H663" s="18"/>
    </row>
    <row r="664" spans="1:8" ht="14.25" customHeight="1">
      <c r="A664" s="18"/>
      <c r="B664" s="18"/>
      <c r="C664" s="18"/>
      <c r="D664" s="18"/>
      <c r="E664" s="18"/>
      <c r="F664" s="18"/>
      <c r="G664" s="18"/>
      <c r="H664" s="18"/>
    </row>
    <row r="665" spans="1:8" ht="14.25" customHeight="1">
      <c r="A665" s="18"/>
      <c r="B665" s="18"/>
      <c r="C665" s="18"/>
      <c r="D665" s="18"/>
      <c r="E665" s="18"/>
      <c r="F665" s="18"/>
      <c r="G665" s="18"/>
      <c r="H665" s="18"/>
    </row>
    <row r="666" spans="1:8" ht="14.25" customHeight="1">
      <c r="A666" s="18"/>
      <c r="B666" s="18"/>
      <c r="C666" s="18"/>
      <c r="D666" s="18"/>
      <c r="E666" s="18"/>
      <c r="F666" s="18"/>
      <c r="G666" s="18"/>
      <c r="H666" s="18"/>
    </row>
    <row r="667" spans="1:8" ht="14.25" customHeight="1">
      <c r="A667" s="18"/>
      <c r="B667" s="18"/>
      <c r="C667" s="18"/>
      <c r="D667" s="18"/>
      <c r="E667" s="18"/>
      <c r="F667" s="18"/>
      <c r="G667" s="18"/>
      <c r="H667" s="18"/>
    </row>
    <row r="668" spans="1:8" ht="14.25" customHeight="1">
      <c r="A668" s="18"/>
      <c r="B668" s="18"/>
      <c r="C668" s="18"/>
      <c r="D668" s="18"/>
      <c r="E668" s="18"/>
      <c r="F668" s="18"/>
      <c r="G668" s="18"/>
      <c r="H668" s="18"/>
    </row>
    <row r="669" spans="1:8" ht="14.25" customHeight="1">
      <c r="A669" s="18"/>
      <c r="B669" s="18"/>
      <c r="C669" s="18"/>
      <c r="D669" s="18"/>
      <c r="E669" s="18"/>
      <c r="F669" s="18"/>
      <c r="G669" s="18"/>
      <c r="H669" s="18"/>
    </row>
    <row r="670" spans="1:8" ht="14.25" customHeight="1">
      <c r="A670" s="18"/>
      <c r="B670" s="18"/>
      <c r="C670" s="18"/>
      <c r="D670" s="18"/>
      <c r="E670" s="18"/>
      <c r="F670" s="18"/>
      <c r="G670" s="18"/>
      <c r="H670" s="18"/>
    </row>
    <row r="671" spans="1:8" ht="14.25" customHeight="1">
      <c r="A671" s="18"/>
      <c r="B671" s="18"/>
      <c r="C671" s="18"/>
      <c r="D671" s="18"/>
      <c r="E671" s="18"/>
      <c r="F671" s="18"/>
      <c r="G671" s="18"/>
      <c r="H671" s="18"/>
    </row>
    <row r="672" spans="1:8" ht="14.25" customHeight="1">
      <c r="A672" s="18"/>
      <c r="B672" s="18"/>
      <c r="C672" s="18"/>
      <c r="D672" s="18"/>
      <c r="E672" s="18"/>
      <c r="F672" s="18"/>
      <c r="G672" s="18"/>
      <c r="H672" s="18"/>
    </row>
    <row r="673" spans="1:8" ht="14.25" customHeight="1">
      <c r="A673" s="18"/>
      <c r="B673" s="18"/>
      <c r="C673" s="18"/>
      <c r="D673" s="18"/>
      <c r="E673" s="18"/>
      <c r="F673" s="18"/>
      <c r="G673" s="18"/>
      <c r="H673" s="18"/>
    </row>
    <row r="674" spans="1:8" ht="14.25" customHeight="1">
      <c r="A674" s="18"/>
      <c r="B674" s="18"/>
      <c r="C674" s="18"/>
      <c r="D674" s="18"/>
      <c r="E674" s="18"/>
      <c r="F674" s="18"/>
      <c r="G674" s="18"/>
      <c r="H674" s="18"/>
    </row>
    <row r="675" spans="1:8" ht="14.25" customHeight="1">
      <c r="A675" s="18"/>
      <c r="B675" s="18"/>
      <c r="C675" s="18"/>
      <c r="D675" s="18"/>
      <c r="E675" s="18"/>
      <c r="F675" s="18"/>
      <c r="G675" s="18"/>
      <c r="H675" s="18"/>
    </row>
    <row r="676" spans="1:8" ht="14.25" customHeight="1">
      <c r="A676" s="18"/>
      <c r="B676" s="18"/>
      <c r="C676" s="18"/>
      <c r="D676" s="18"/>
      <c r="E676" s="18"/>
      <c r="F676" s="18"/>
      <c r="G676" s="18"/>
      <c r="H676" s="18"/>
    </row>
    <row r="677" spans="1:8" ht="14.25" customHeight="1">
      <c r="A677" s="18"/>
      <c r="B677" s="18"/>
      <c r="C677" s="18"/>
      <c r="D677" s="18"/>
      <c r="E677" s="18"/>
      <c r="F677" s="18"/>
      <c r="G677" s="18"/>
      <c r="H677" s="18"/>
    </row>
    <row r="678" spans="1:8" ht="14.25" customHeight="1">
      <c r="A678" s="18"/>
      <c r="B678" s="18"/>
      <c r="C678" s="18"/>
      <c r="D678" s="18"/>
      <c r="E678" s="18"/>
      <c r="F678" s="18"/>
      <c r="G678" s="18"/>
      <c r="H678" s="18"/>
    </row>
    <row r="679" spans="1:8" ht="14.25" customHeight="1">
      <c r="A679" s="18"/>
      <c r="B679" s="18"/>
      <c r="C679" s="18"/>
      <c r="D679" s="18"/>
      <c r="E679" s="18"/>
      <c r="F679" s="18"/>
      <c r="G679" s="18"/>
      <c r="H679" s="18"/>
    </row>
    <row r="680" spans="1:8" ht="14.25" customHeight="1">
      <c r="A680" s="18"/>
      <c r="B680" s="18"/>
      <c r="C680" s="18"/>
      <c r="D680" s="18"/>
      <c r="E680" s="18"/>
      <c r="F680" s="18"/>
      <c r="G680" s="18"/>
      <c r="H680" s="18"/>
    </row>
    <row r="681" spans="1:8" ht="14.25" customHeight="1">
      <c r="A681" s="18"/>
      <c r="B681" s="18"/>
      <c r="C681" s="18"/>
      <c r="D681" s="18"/>
      <c r="E681" s="18"/>
      <c r="F681" s="18"/>
      <c r="G681" s="18"/>
      <c r="H681" s="18"/>
    </row>
    <row r="682" spans="1:8" ht="14.25" customHeight="1">
      <c r="A682" s="18"/>
      <c r="B682" s="18"/>
      <c r="C682" s="18"/>
      <c r="D682" s="18"/>
      <c r="E682" s="18"/>
      <c r="F682" s="18"/>
      <c r="G682" s="18"/>
      <c r="H682" s="18"/>
    </row>
    <row r="683" spans="1:8" ht="14.25" customHeight="1">
      <c r="A683" s="18"/>
      <c r="B683" s="18"/>
      <c r="C683" s="18"/>
      <c r="D683" s="18"/>
      <c r="E683" s="18"/>
      <c r="F683" s="18"/>
      <c r="G683" s="18"/>
      <c r="H683" s="18"/>
    </row>
    <row r="684" spans="1:8" ht="14.25" customHeight="1">
      <c r="A684" s="18"/>
      <c r="B684" s="18"/>
      <c r="C684" s="18"/>
      <c r="D684" s="18"/>
      <c r="E684" s="18"/>
      <c r="F684" s="18"/>
      <c r="G684" s="18"/>
      <c r="H684" s="18"/>
    </row>
    <row r="685" spans="1:8" ht="14.25" customHeight="1">
      <c r="A685" s="18"/>
      <c r="B685" s="18"/>
      <c r="C685" s="18"/>
      <c r="D685" s="18"/>
      <c r="E685" s="18"/>
      <c r="F685" s="18"/>
      <c r="G685" s="18"/>
      <c r="H685" s="18"/>
    </row>
    <row r="686" spans="1:8" ht="14.25" customHeight="1">
      <c r="A686" s="18"/>
      <c r="B686" s="18"/>
      <c r="C686" s="18"/>
      <c r="D686" s="18"/>
      <c r="E686" s="18"/>
      <c r="F686" s="18"/>
      <c r="G686" s="18"/>
      <c r="H686" s="18"/>
    </row>
    <row r="687" spans="1:8" ht="14.25" customHeight="1">
      <c r="A687" s="18"/>
      <c r="B687" s="18"/>
      <c r="C687" s="18"/>
      <c r="D687" s="18"/>
      <c r="E687" s="18"/>
      <c r="F687" s="18"/>
      <c r="G687" s="18"/>
      <c r="H687" s="18"/>
    </row>
    <row r="688" spans="1:8" ht="14.25" customHeight="1">
      <c r="A688" s="18"/>
      <c r="B688" s="18"/>
      <c r="C688" s="18"/>
      <c r="D688" s="18"/>
      <c r="E688" s="18"/>
      <c r="F688" s="18"/>
      <c r="G688" s="18"/>
      <c r="H688" s="18"/>
    </row>
    <row r="689" spans="1:8" ht="14.25" customHeight="1">
      <c r="A689" s="18"/>
      <c r="B689" s="18"/>
      <c r="C689" s="18"/>
      <c r="D689" s="18"/>
      <c r="E689" s="18"/>
      <c r="F689" s="18"/>
      <c r="G689" s="18"/>
      <c r="H689" s="18"/>
    </row>
    <row r="690" spans="1:8" ht="14.25" customHeight="1">
      <c r="A690" s="18"/>
      <c r="B690" s="18"/>
      <c r="C690" s="18"/>
      <c r="D690" s="18"/>
      <c r="E690" s="18"/>
      <c r="F690" s="18"/>
      <c r="G690" s="18"/>
      <c r="H690" s="18"/>
    </row>
    <row r="691" spans="1:8" ht="14.25" customHeight="1">
      <c r="A691" s="18"/>
      <c r="B691" s="18"/>
      <c r="C691" s="18"/>
      <c r="D691" s="18"/>
      <c r="E691" s="18"/>
      <c r="F691" s="18"/>
      <c r="G691" s="18"/>
      <c r="H691" s="18"/>
    </row>
    <row r="692" spans="1:8" ht="14.25" customHeight="1">
      <c r="A692" s="18"/>
      <c r="B692" s="18"/>
      <c r="C692" s="18"/>
      <c r="D692" s="18"/>
      <c r="E692" s="18"/>
      <c r="F692" s="18"/>
      <c r="G692" s="18"/>
      <c r="H692" s="18"/>
    </row>
    <row r="693" spans="1:8" ht="14.25" customHeight="1">
      <c r="A693" s="18"/>
      <c r="B693" s="18"/>
      <c r="C693" s="18"/>
      <c r="D693" s="18"/>
      <c r="E693" s="18"/>
      <c r="F693" s="18"/>
      <c r="G693" s="18"/>
      <c r="H693" s="18"/>
    </row>
    <row r="694" spans="1:8" ht="14.25" customHeight="1">
      <c r="A694" s="18"/>
      <c r="B694" s="18"/>
      <c r="C694" s="18"/>
      <c r="D694" s="18"/>
      <c r="E694" s="18"/>
      <c r="F694" s="18"/>
      <c r="G694" s="18"/>
      <c r="H694" s="18"/>
    </row>
    <row r="695" spans="1:8" ht="14.25" customHeight="1">
      <c r="A695" s="18"/>
      <c r="B695" s="18"/>
      <c r="C695" s="18"/>
      <c r="D695" s="18"/>
      <c r="E695" s="18"/>
      <c r="F695" s="18"/>
      <c r="G695" s="18"/>
      <c r="H695" s="18"/>
    </row>
    <row r="696" spans="1:8" ht="14.25" customHeight="1">
      <c r="A696" s="18"/>
      <c r="B696" s="18"/>
      <c r="C696" s="18"/>
      <c r="D696" s="18"/>
      <c r="E696" s="18"/>
      <c r="F696" s="18"/>
      <c r="G696" s="18"/>
      <c r="H696" s="18"/>
    </row>
    <row r="697" spans="1:8" ht="14.25" customHeight="1">
      <c r="A697" s="18"/>
      <c r="B697" s="18"/>
      <c r="C697" s="18"/>
      <c r="D697" s="18"/>
      <c r="E697" s="18"/>
      <c r="F697" s="18"/>
      <c r="G697" s="18"/>
      <c r="H697" s="18"/>
    </row>
    <row r="698" spans="1:8" ht="14.25" customHeight="1">
      <c r="A698" s="18"/>
      <c r="B698" s="18"/>
      <c r="C698" s="18"/>
      <c r="D698" s="18"/>
      <c r="E698" s="18"/>
      <c r="F698" s="18"/>
      <c r="G698" s="18"/>
      <c r="H698" s="18"/>
    </row>
    <row r="699" spans="1:8" ht="14.25" customHeight="1">
      <c r="A699" s="18"/>
      <c r="B699" s="18"/>
      <c r="C699" s="18"/>
      <c r="D699" s="18"/>
      <c r="E699" s="18"/>
      <c r="F699" s="18"/>
      <c r="G699" s="18"/>
      <c r="H699" s="18"/>
    </row>
    <row r="700" spans="1:8" ht="14.25" customHeight="1">
      <c r="A700" s="18"/>
      <c r="B700" s="18"/>
      <c r="C700" s="18"/>
      <c r="D700" s="18"/>
      <c r="E700" s="18"/>
      <c r="F700" s="18"/>
      <c r="G700" s="18"/>
      <c r="H700" s="18"/>
    </row>
    <row r="701" spans="1:8" ht="14.25" customHeight="1">
      <c r="A701" s="18"/>
      <c r="B701" s="18"/>
      <c r="C701" s="18"/>
      <c r="D701" s="18"/>
      <c r="E701" s="18"/>
      <c r="F701" s="18"/>
      <c r="G701" s="18"/>
      <c r="H701" s="18"/>
    </row>
    <row r="702" spans="1:8" ht="14.25" customHeight="1">
      <c r="A702" s="18"/>
      <c r="B702" s="18"/>
      <c r="C702" s="18"/>
      <c r="D702" s="18"/>
      <c r="E702" s="18"/>
      <c r="F702" s="18"/>
      <c r="G702" s="18"/>
      <c r="H702" s="18"/>
    </row>
    <row r="703" spans="1:8" ht="14.25" customHeight="1">
      <c r="A703" s="18"/>
      <c r="B703" s="18"/>
      <c r="C703" s="18"/>
      <c r="D703" s="18"/>
      <c r="E703" s="18"/>
      <c r="F703" s="18"/>
      <c r="G703" s="18"/>
      <c r="H703" s="18"/>
    </row>
    <row r="704" spans="1:8" ht="14.25" customHeight="1">
      <c r="A704" s="18"/>
      <c r="B704" s="18"/>
      <c r="C704" s="18"/>
      <c r="D704" s="18"/>
      <c r="E704" s="18"/>
      <c r="F704" s="18"/>
      <c r="G704" s="18"/>
      <c r="H704" s="18"/>
    </row>
    <row r="705" spans="1:8" ht="14.25" customHeight="1">
      <c r="A705" s="18"/>
      <c r="B705" s="18"/>
      <c r="C705" s="18"/>
      <c r="D705" s="18"/>
      <c r="E705" s="18"/>
      <c r="F705" s="18"/>
      <c r="G705" s="18"/>
      <c r="H705" s="18"/>
    </row>
    <row r="706" spans="1:8" ht="14.25" customHeight="1">
      <c r="A706" s="18"/>
      <c r="B706" s="18"/>
      <c r="C706" s="18"/>
      <c r="D706" s="18"/>
      <c r="E706" s="18"/>
      <c r="F706" s="18"/>
      <c r="G706" s="18"/>
      <c r="H706" s="18"/>
    </row>
    <row r="707" spans="1:8" ht="14.25" customHeight="1">
      <c r="A707" s="18"/>
      <c r="B707" s="18"/>
      <c r="C707" s="18"/>
      <c r="D707" s="18"/>
      <c r="E707" s="18"/>
      <c r="F707" s="18"/>
      <c r="G707" s="18"/>
      <c r="H707" s="18"/>
    </row>
    <row r="708" spans="1:8" ht="14.25" customHeight="1">
      <c r="A708" s="18"/>
      <c r="B708" s="18"/>
      <c r="C708" s="18"/>
      <c r="D708" s="18"/>
      <c r="E708" s="18"/>
      <c r="F708" s="18"/>
      <c r="G708" s="18"/>
      <c r="H708" s="18"/>
    </row>
    <row r="709" spans="1:8" ht="14.25" customHeight="1">
      <c r="A709" s="18"/>
      <c r="B709" s="18"/>
      <c r="C709" s="18"/>
      <c r="D709" s="18"/>
      <c r="E709" s="18"/>
      <c r="F709" s="18"/>
      <c r="G709" s="18"/>
      <c r="H709" s="18"/>
    </row>
    <row r="710" spans="1:8" ht="14.25" customHeight="1">
      <c r="A710" s="18"/>
      <c r="B710" s="18"/>
      <c r="C710" s="18"/>
      <c r="D710" s="18"/>
      <c r="E710" s="18"/>
      <c r="F710" s="18"/>
      <c r="G710" s="18"/>
      <c r="H710" s="18"/>
    </row>
    <row r="711" spans="1:8" ht="14.25" customHeight="1">
      <c r="A711" s="18"/>
      <c r="B711" s="18"/>
      <c r="C711" s="18"/>
      <c r="D711" s="18"/>
      <c r="E711" s="18"/>
      <c r="F711" s="18"/>
      <c r="G711" s="18"/>
      <c r="H711" s="18"/>
    </row>
    <row r="712" spans="1:8" ht="14.25" customHeight="1">
      <c r="A712" s="18"/>
      <c r="B712" s="18"/>
      <c r="C712" s="18"/>
      <c r="D712" s="18"/>
      <c r="E712" s="18"/>
      <c r="F712" s="18"/>
      <c r="G712" s="18"/>
      <c r="H712" s="18"/>
    </row>
    <row r="713" spans="1:8" ht="14.25" customHeight="1">
      <c r="A713" s="18"/>
      <c r="B713" s="18"/>
      <c r="C713" s="18"/>
      <c r="D713" s="18"/>
      <c r="E713" s="18"/>
      <c r="F713" s="18"/>
      <c r="G713" s="18"/>
      <c r="H713" s="18"/>
    </row>
    <row r="714" spans="1:8" ht="14.25" customHeight="1">
      <c r="A714" s="18"/>
      <c r="B714" s="18"/>
      <c r="C714" s="18"/>
      <c r="D714" s="18"/>
      <c r="E714" s="18"/>
      <c r="F714" s="18"/>
      <c r="G714" s="18"/>
      <c r="H714" s="18"/>
    </row>
    <row r="715" spans="1:8" ht="14.25" customHeight="1">
      <c r="A715" s="18"/>
      <c r="B715" s="18"/>
      <c r="C715" s="18"/>
      <c r="D715" s="18"/>
      <c r="E715" s="18"/>
      <c r="F715" s="18"/>
      <c r="G715" s="18"/>
      <c r="H715" s="18"/>
    </row>
    <row r="716" spans="1:8" ht="14.25" customHeight="1">
      <c r="A716" s="18"/>
      <c r="B716" s="18"/>
      <c r="C716" s="18"/>
      <c r="D716" s="18"/>
      <c r="E716" s="18"/>
      <c r="F716" s="18"/>
      <c r="G716" s="18"/>
      <c r="H716" s="18"/>
    </row>
    <row r="717" spans="1:8" ht="14.25" customHeight="1">
      <c r="A717" s="18"/>
      <c r="B717" s="18"/>
      <c r="C717" s="18"/>
      <c r="D717" s="18"/>
      <c r="E717" s="18"/>
      <c r="F717" s="18"/>
      <c r="G717" s="18"/>
      <c r="H717" s="18"/>
    </row>
    <row r="718" spans="1:8" ht="14.25" customHeight="1">
      <c r="A718" s="18"/>
      <c r="B718" s="18"/>
      <c r="C718" s="18"/>
      <c r="D718" s="18"/>
      <c r="E718" s="18"/>
      <c r="F718" s="18"/>
      <c r="G718" s="18"/>
      <c r="H718" s="18"/>
    </row>
    <row r="719" spans="1:8" ht="14.25" customHeight="1">
      <c r="A719" s="18"/>
      <c r="B719" s="18"/>
      <c r="C719" s="18"/>
      <c r="D719" s="18"/>
      <c r="E719" s="18"/>
      <c r="F719" s="18"/>
      <c r="G719" s="18"/>
      <c r="H719" s="18"/>
    </row>
    <row r="720" spans="1:8" ht="14.25" customHeight="1">
      <c r="A720" s="18"/>
      <c r="B720" s="18"/>
      <c r="C720" s="18"/>
      <c r="D720" s="18"/>
      <c r="E720" s="18"/>
      <c r="F720" s="18"/>
      <c r="G720" s="18"/>
      <c r="H720" s="18"/>
    </row>
    <row r="721" spans="1:8" ht="14.25" customHeight="1">
      <c r="A721" s="18"/>
      <c r="B721" s="18"/>
      <c r="C721" s="18"/>
      <c r="D721" s="18"/>
      <c r="E721" s="18"/>
      <c r="F721" s="18"/>
      <c r="G721" s="18"/>
      <c r="H721" s="18"/>
    </row>
    <row r="722" spans="1:8" ht="14.25" customHeight="1">
      <c r="A722" s="18"/>
      <c r="B722" s="18"/>
      <c r="C722" s="18"/>
      <c r="D722" s="18"/>
      <c r="E722" s="18"/>
      <c r="F722" s="18"/>
      <c r="G722" s="18"/>
      <c r="H722" s="18"/>
    </row>
    <row r="723" spans="1:8" ht="14.25" customHeight="1">
      <c r="A723" s="18"/>
      <c r="B723" s="18"/>
      <c r="C723" s="18"/>
      <c r="D723" s="18"/>
      <c r="E723" s="18"/>
      <c r="F723" s="18"/>
      <c r="G723" s="18"/>
      <c r="H723" s="18"/>
    </row>
    <row r="724" spans="1:8" ht="14.25" customHeight="1">
      <c r="A724" s="18"/>
      <c r="B724" s="18"/>
      <c r="C724" s="18"/>
      <c r="D724" s="18"/>
      <c r="E724" s="18"/>
      <c r="F724" s="18"/>
      <c r="G724" s="18"/>
      <c r="H724" s="18"/>
    </row>
    <row r="725" spans="1:8" ht="14.25" customHeight="1">
      <c r="A725" s="18"/>
      <c r="B725" s="18"/>
      <c r="C725" s="18"/>
      <c r="D725" s="18"/>
      <c r="E725" s="18"/>
      <c r="F725" s="18"/>
      <c r="G725" s="18"/>
      <c r="H725" s="18"/>
    </row>
    <row r="726" spans="1:8" ht="14.25" customHeight="1">
      <c r="A726" s="18"/>
      <c r="B726" s="18"/>
      <c r="C726" s="18"/>
      <c r="D726" s="18"/>
      <c r="E726" s="18"/>
      <c r="F726" s="18"/>
      <c r="G726" s="18"/>
      <c r="H726" s="18"/>
    </row>
    <row r="727" spans="1:8" ht="14.25" customHeight="1">
      <c r="A727" s="18"/>
      <c r="B727" s="18"/>
      <c r="C727" s="18"/>
      <c r="D727" s="18"/>
      <c r="E727" s="18"/>
      <c r="F727" s="18"/>
      <c r="G727" s="18"/>
      <c r="H727" s="18"/>
    </row>
    <row r="728" spans="1:8" ht="14.25" customHeight="1">
      <c r="A728" s="18"/>
      <c r="B728" s="18"/>
      <c r="C728" s="18"/>
      <c r="D728" s="18"/>
      <c r="E728" s="18"/>
      <c r="F728" s="18"/>
      <c r="G728" s="18"/>
      <c r="H728" s="18"/>
    </row>
    <row r="729" spans="1:8" ht="14.25" customHeight="1">
      <c r="A729" s="18"/>
      <c r="B729" s="18"/>
      <c r="C729" s="18"/>
      <c r="D729" s="18"/>
      <c r="E729" s="18"/>
      <c r="F729" s="18"/>
      <c r="G729" s="18"/>
      <c r="H729" s="18"/>
    </row>
    <row r="730" spans="1:8" ht="14.25" customHeight="1">
      <c r="A730" s="18"/>
      <c r="B730" s="18"/>
      <c r="C730" s="18"/>
      <c r="D730" s="18"/>
      <c r="E730" s="18"/>
      <c r="F730" s="18"/>
      <c r="G730" s="18"/>
      <c r="H730" s="18"/>
    </row>
    <row r="731" spans="1:8" ht="14.25" customHeight="1">
      <c r="A731" s="18"/>
      <c r="B731" s="18"/>
      <c r="C731" s="18"/>
      <c r="D731" s="18"/>
      <c r="E731" s="18"/>
      <c r="F731" s="18"/>
      <c r="G731" s="18"/>
      <c r="H731" s="18"/>
    </row>
    <row r="732" spans="1:8" ht="14.25" customHeight="1">
      <c r="A732" s="18"/>
      <c r="B732" s="18"/>
      <c r="C732" s="18"/>
      <c r="D732" s="18"/>
      <c r="E732" s="18"/>
      <c r="F732" s="18"/>
      <c r="G732" s="18"/>
      <c r="H732" s="18"/>
    </row>
    <row r="733" spans="1:8" ht="14.25" customHeight="1">
      <c r="A733" s="18"/>
      <c r="B733" s="18"/>
      <c r="C733" s="18"/>
      <c r="D733" s="18"/>
      <c r="E733" s="18"/>
      <c r="F733" s="18"/>
      <c r="G733" s="18"/>
      <c r="H733" s="18"/>
    </row>
    <row r="734" spans="1:8" ht="14.25" customHeight="1">
      <c r="A734" s="18"/>
      <c r="B734" s="18"/>
      <c r="C734" s="18"/>
      <c r="D734" s="18"/>
      <c r="E734" s="18"/>
      <c r="F734" s="18"/>
      <c r="G734" s="18"/>
      <c r="H734" s="18"/>
    </row>
    <row r="735" spans="1:8" ht="14.25" customHeight="1">
      <c r="A735" s="18"/>
      <c r="B735" s="18"/>
      <c r="C735" s="18"/>
      <c r="D735" s="18"/>
      <c r="E735" s="18"/>
      <c r="F735" s="18"/>
      <c r="G735" s="18"/>
      <c r="H735" s="18"/>
    </row>
    <row r="736" spans="1:8" ht="14.25" customHeight="1">
      <c r="A736" s="18"/>
      <c r="B736" s="18"/>
      <c r="C736" s="18"/>
      <c r="D736" s="18"/>
      <c r="E736" s="18"/>
      <c r="F736" s="18"/>
      <c r="G736" s="18"/>
      <c r="H736" s="18"/>
    </row>
    <row r="737" spans="1:8" ht="14.25" customHeight="1">
      <c r="A737" s="18"/>
      <c r="B737" s="18"/>
      <c r="C737" s="18"/>
      <c r="D737" s="18"/>
      <c r="E737" s="18"/>
      <c r="F737" s="18"/>
      <c r="G737" s="18"/>
      <c r="H737" s="18"/>
    </row>
    <row r="738" spans="1:8" ht="14.25" customHeight="1">
      <c r="A738" s="18"/>
      <c r="B738" s="18"/>
      <c r="C738" s="18"/>
      <c r="D738" s="18"/>
      <c r="E738" s="18"/>
      <c r="F738" s="18"/>
      <c r="G738" s="18"/>
      <c r="H738" s="18"/>
    </row>
    <row r="739" spans="1:8" ht="14.25" customHeight="1">
      <c r="A739" s="18"/>
      <c r="B739" s="18"/>
      <c r="C739" s="18"/>
      <c r="D739" s="18"/>
      <c r="E739" s="18"/>
      <c r="F739" s="18"/>
      <c r="G739" s="18"/>
      <c r="H739" s="18"/>
    </row>
    <row r="740" spans="1:8" ht="14.25" customHeight="1">
      <c r="A740" s="18"/>
      <c r="B740" s="18"/>
      <c r="C740" s="18"/>
      <c r="D740" s="18"/>
      <c r="E740" s="18"/>
      <c r="F740" s="18"/>
      <c r="G740" s="18"/>
      <c r="H740" s="18"/>
    </row>
    <row r="741" spans="1:8" ht="14.25" customHeight="1">
      <c r="A741" s="18"/>
      <c r="B741" s="18"/>
      <c r="C741" s="18"/>
      <c r="D741" s="18"/>
      <c r="E741" s="18"/>
      <c r="F741" s="18"/>
      <c r="G741" s="18"/>
      <c r="H741" s="18"/>
    </row>
    <row r="742" spans="1:8" ht="14.25" customHeight="1">
      <c r="A742" s="18"/>
      <c r="B742" s="18"/>
      <c r="C742" s="18"/>
      <c r="D742" s="18"/>
      <c r="E742" s="18"/>
      <c r="F742" s="18"/>
      <c r="G742" s="18"/>
      <c r="H742" s="18"/>
    </row>
    <row r="743" spans="1:8" ht="14.25" customHeight="1">
      <c r="A743" s="18"/>
      <c r="B743" s="18"/>
      <c r="C743" s="18"/>
      <c r="D743" s="18"/>
      <c r="E743" s="18"/>
      <c r="F743" s="18"/>
      <c r="G743" s="18"/>
      <c r="H743" s="18"/>
    </row>
    <row r="744" spans="1:8" ht="14.25" customHeight="1">
      <c r="A744" s="18"/>
      <c r="B744" s="18"/>
      <c r="C744" s="18"/>
      <c r="D744" s="18"/>
      <c r="E744" s="18"/>
      <c r="F744" s="18"/>
      <c r="G744" s="18"/>
      <c r="H744" s="18"/>
    </row>
    <row r="745" spans="1:8" ht="14.25" customHeight="1">
      <c r="A745" s="18"/>
      <c r="B745" s="18"/>
      <c r="C745" s="18"/>
      <c r="D745" s="18"/>
      <c r="E745" s="18"/>
      <c r="F745" s="18"/>
      <c r="G745" s="18"/>
      <c r="H745" s="18"/>
    </row>
    <row r="746" spans="1:8" ht="14.25" customHeight="1">
      <c r="A746" s="18"/>
      <c r="B746" s="18"/>
      <c r="C746" s="18"/>
      <c r="D746" s="18"/>
      <c r="E746" s="18"/>
      <c r="F746" s="18"/>
      <c r="G746" s="18"/>
      <c r="H746" s="18"/>
    </row>
    <row r="747" spans="1:8" ht="14.25" customHeight="1">
      <c r="A747" s="18"/>
      <c r="B747" s="18"/>
      <c r="C747" s="18"/>
      <c r="D747" s="18"/>
      <c r="E747" s="18"/>
      <c r="F747" s="18"/>
      <c r="G747" s="18"/>
      <c r="H747" s="18"/>
    </row>
    <row r="748" spans="1:8" ht="14.25" customHeight="1">
      <c r="A748" s="18"/>
      <c r="B748" s="18"/>
      <c r="C748" s="18"/>
      <c r="D748" s="18"/>
      <c r="E748" s="18"/>
      <c r="F748" s="18"/>
      <c r="G748" s="18"/>
      <c r="H748" s="18"/>
    </row>
    <row r="749" spans="1:8" ht="14.25" customHeight="1">
      <c r="A749" s="18"/>
      <c r="B749" s="18"/>
      <c r="C749" s="18"/>
      <c r="D749" s="18"/>
      <c r="E749" s="18"/>
      <c r="F749" s="18"/>
      <c r="G749" s="18"/>
      <c r="H749" s="18"/>
    </row>
    <row r="750" spans="1:8" ht="14.25" customHeight="1">
      <c r="A750" s="18"/>
      <c r="B750" s="18"/>
      <c r="C750" s="18"/>
      <c r="D750" s="18"/>
      <c r="E750" s="18"/>
      <c r="F750" s="18"/>
      <c r="G750" s="18"/>
      <c r="H750" s="18"/>
    </row>
    <row r="751" spans="1:8" ht="14.25" customHeight="1">
      <c r="A751" s="18"/>
      <c r="B751" s="18"/>
      <c r="C751" s="18"/>
      <c r="D751" s="18"/>
      <c r="E751" s="18"/>
      <c r="F751" s="18"/>
      <c r="G751" s="18"/>
      <c r="H751" s="18"/>
    </row>
    <row r="752" spans="1:8" ht="14.25" customHeight="1">
      <c r="A752" s="18"/>
      <c r="B752" s="18"/>
      <c r="C752" s="18"/>
      <c r="D752" s="18"/>
      <c r="E752" s="18"/>
      <c r="F752" s="18"/>
      <c r="G752" s="18"/>
      <c r="H752" s="18"/>
    </row>
    <row r="753" spans="1:8" ht="14.25" customHeight="1">
      <c r="A753" s="18"/>
      <c r="B753" s="18"/>
      <c r="C753" s="18"/>
      <c r="D753" s="18"/>
      <c r="E753" s="18"/>
      <c r="F753" s="18"/>
      <c r="G753" s="18"/>
      <c r="H753" s="18"/>
    </row>
    <row r="754" spans="1:8" ht="14.25" customHeight="1">
      <c r="A754" s="18"/>
      <c r="B754" s="18"/>
      <c r="C754" s="18"/>
      <c r="D754" s="18"/>
      <c r="E754" s="18"/>
      <c r="F754" s="18"/>
      <c r="G754" s="18"/>
      <c r="H754" s="18"/>
    </row>
    <row r="755" spans="1:8" ht="14.25" customHeight="1">
      <c r="A755" s="18"/>
      <c r="B755" s="18"/>
      <c r="C755" s="18"/>
      <c r="D755" s="18"/>
      <c r="E755" s="18"/>
      <c r="F755" s="18"/>
      <c r="G755" s="18"/>
      <c r="H755" s="18"/>
    </row>
    <row r="756" spans="1:8" ht="14.25" customHeight="1">
      <c r="A756" s="18"/>
      <c r="B756" s="18"/>
      <c r="C756" s="18"/>
      <c r="D756" s="18"/>
      <c r="E756" s="18"/>
      <c r="F756" s="18"/>
      <c r="G756" s="18"/>
      <c r="H756" s="18"/>
    </row>
    <row r="757" spans="1:8" ht="14.25" customHeight="1">
      <c r="A757" s="18"/>
      <c r="B757" s="18"/>
      <c r="C757" s="18"/>
      <c r="D757" s="18"/>
      <c r="E757" s="18"/>
      <c r="F757" s="18"/>
      <c r="G757" s="18"/>
      <c r="H757" s="18"/>
    </row>
    <row r="758" spans="1:8" ht="14.25" customHeight="1">
      <c r="A758" s="18"/>
      <c r="B758" s="18"/>
      <c r="C758" s="18"/>
      <c r="D758" s="18"/>
      <c r="E758" s="18"/>
      <c r="F758" s="18"/>
      <c r="G758" s="18"/>
      <c r="H758" s="18"/>
    </row>
    <row r="759" spans="1:8" ht="14.25" customHeight="1">
      <c r="A759" s="18"/>
      <c r="B759" s="18"/>
      <c r="C759" s="18"/>
      <c r="D759" s="18"/>
      <c r="E759" s="18"/>
      <c r="F759" s="18"/>
      <c r="G759" s="18"/>
      <c r="H759" s="18"/>
    </row>
    <row r="760" spans="1:8" ht="14.25" customHeight="1">
      <c r="A760" s="18"/>
      <c r="B760" s="18"/>
      <c r="C760" s="18"/>
      <c r="D760" s="18"/>
      <c r="E760" s="18"/>
      <c r="F760" s="18"/>
      <c r="G760" s="18"/>
      <c r="H760" s="18"/>
    </row>
    <row r="761" spans="1:8" ht="14.25" customHeight="1">
      <c r="A761" s="18"/>
      <c r="B761" s="18"/>
      <c r="C761" s="18"/>
      <c r="D761" s="18"/>
      <c r="E761" s="18"/>
      <c r="F761" s="18"/>
      <c r="G761" s="18"/>
      <c r="H761" s="18"/>
    </row>
    <row r="762" spans="1:8" ht="14.25" customHeight="1">
      <c r="A762" s="18"/>
      <c r="B762" s="18"/>
      <c r="C762" s="18"/>
      <c r="D762" s="18"/>
      <c r="E762" s="18"/>
      <c r="F762" s="18"/>
      <c r="G762" s="18"/>
      <c r="H762" s="18"/>
    </row>
    <row r="763" spans="1:8" ht="14.25" customHeight="1">
      <c r="A763" s="18"/>
      <c r="B763" s="18"/>
      <c r="C763" s="18"/>
      <c r="D763" s="18"/>
      <c r="E763" s="18"/>
      <c r="F763" s="18"/>
      <c r="G763" s="18"/>
      <c r="H763" s="18"/>
    </row>
    <row r="764" spans="1:8" ht="14.25" customHeight="1">
      <c r="A764" s="18"/>
      <c r="B764" s="18"/>
      <c r="C764" s="18"/>
      <c r="D764" s="18"/>
      <c r="E764" s="18"/>
      <c r="F764" s="18"/>
      <c r="G764" s="18"/>
      <c r="H764" s="18"/>
    </row>
    <row r="765" spans="1:8" ht="14.25" customHeight="1">
      <c r="A765" s="18"/>
      <c r="B765" s="18"/>
      <c r="C765" s="18"/>
      <c r="D765" s="18"/>
      <c r="E765" s="18"/>
      <c r="F765" s="18"/>
      <c r="G765" s="18"/>
      <c r="H765" s="18"/>
    </row>
    <row r="766" spans="1:8" ht="14.25" customHeight="1">
      <c r="A766" s="18"/>
      <c r="B766" s="18"/>
      <c r="C766" s="18"/>
      <c r="D766" s="18"/>
      <c r="E766" s="18"/>
      <c r="F766" s="18"/>
      <c r="G766" s="18"/>
      <c r="H766" s="18"/>
    </row>
    <row r="767" spans="1:8" ht="14.25" customHeight="1">
      <c r="A767" s="18"/>
      <c r="B767" s="18"/>
      <c r="C767" s="18"/>
      <c r="D767" s="18"/>
      <c r="E767" s="18"/>
      <c r="F767" s="18"/>
      <c r="G767" s="18"/>
      <c r="H767" s="18"/>
    </row>
    <row r="768" spans="1:8" ht="14.25" customHeight="1">
      <c r="A768" s="18"/>
      <c r="B768" s="18"/>
      <c r="C768" s="18"/>
      <c r="D768" s="18"/>
      <c r="E768" s="18"/>
      <c r="F768" s="18"/>
      <c r="G768" s="18"/>
      <c r="H768" s="18"/>
    </row>
    <row r="769" spans="1:8" ht="14.25" customHeight="1">
      <c r="A769" s="18"/>
      <c r="B769" s="18"/>
      <c r="C769" s="18"/>
      <c r="D769" s="18"/>
      <c r="E769" s="18"/>
      <c r="F769" s="18"/>
      <c r="G769" s="18"/>
      <c r="H769" s="18"/>
    </row>
    <row r="770" spans="1:8" ht="14.25" customHeight="1">
      <c r="A770" s="18"/>
      <c r="B770" s="18"/>
      <c r="C770" s="18"/>
      <c r="D770" s="18"/>
      <c r="E770" s="18"/>
      <c r="F770" s="18"/>
      <c r="G770" s="18"/>
      <c r="H770" s="18"/>
    </row>
    <row r="771" spans="1:8" ht="14.25" customHeight="1">
      <c r="A771" s="18"/>
      <c r="B771" s="18"/>
      <c r="C771" s="18"/>
      <c r="D771" s="18"/>
      <c r="E771" s="18"/>
      <c r="F771" s="18"/>
      <c r="G771" s="18"/>
      <c r="H771" s="18"/>
    </row>
    <row r="772" spans="1:8" ht="14.25" customHeight="1">
      <c r="A772" s="18"/>
      <c r="B772" s="18"/>
      <c r="C772" s="18"/>
      <c r="D772" s="18"/>
      <c r="E772" s="18"/>
      <c r="F772" s="18"/>
      <c r="G772" s="18"/>
      <c r="H772" s="18"/>
    </row>
    <row r="773" spans="1:8" ht="14.25" customHeight="1">
      <c r="A773" s="18"/>
      <c r="B773" s="18"/>
      <c r="C773" s="18"/>
      <c r="D773" s="18"/>
      <c r="E773" s="18"/>
      <c r="F773" s="18"/>
      <c r="G773" s="18"/>
      <c r="H773" s="18"/>
    </row>
    <row r="774" spans="1:8" ht="14.25" customHeight="1">
      <c r="A774" s="18"/>
      <c r="B774" s="18"/>
      <c r="C774" s="18"/>
      <c r="D774" s="18"/>
      <c r="E774" s="18"/>
      <c r="F774" s="18"/>
      <c r="G774" s="18"/>
      <c r="H774" s="18"/>
    </row>
    <row r="775" spans="1:8" ht="14.25" customHeight="1">
      <c r="A775" s="18"/>
      <c r="B775" s="18"/>
      <c r="C775" s="18"/>
      <c r="D775" s="18"/>
      <c r="E775" s="18"/>
      <c r="F775" s="18"/>
      <c r="G775" s="18"/>
      <c r="H775" s="18"/>
    </row>
    <row r="776" spans="1:8" ht="14.25" customHeight="1">
      <c r="A776" s="18"/>
      <c r="B776" s="18"/>
      <c r="C776" s="18"/>
      <c r="D776" s="18"/>
      <c r="E776" s="18"/>
      <c r="F776" s="18"/>
      <c r="G776" s="18"/>
      <c r="H776" s="18"/>
    </row>
    <row r="777" spans="1:8" ht="14.25" customHeight="1">
      <c r="A777" s="18"/>
      <c r="B777" s="18"/>
      <c r="C777" s="18"/>
      <c r="D777" s="18"/>
      <c r="E777" s="18"/>
      <c r="F777" s="18"/>
      <c r="G777" s="18"/>
      <c r="H777" s="18"/>
    </row>
    <row r="778" spans="1:8" ht="14.25" customHeight="1">
      <c r="A778" s="18"/>
      <c r="B778" s="18"/>
      <c r="C778" s="18"/>
      <c r="D778" s="18"/>
      <c r="E778" s="18"/>
      <c r="F778" s="18"/>
      <c r="G778" s="18"/>
      <c r="H778" s="18"/>
    </row>
    <row r="779" spans="1:8" ht="14.25" customHeight="1">
      <c r="A779" s="18"/>
      <c r="B779" s="18"/>
      <c r="C779" s="18"/>
      <c r="D779" s="18"/>
      <c r="E779" s="18"/>
      <c r="F779" s="18"/>
      <c r="G779" s="18"/>
      <c r="H779" s="18"/>
    </row>
    <row r="780" spans="1:8" ht="14.25" customHeight="1">
      <c r="A780" s="18"/>
      <c r="B780" s="18"/>
      <c r="C780" s="18"/>
      <c r="D780" s="18"/>
      <c r="E780" s="18"/>
      <c r="F780" s="18"/>
      <c r="G780" s="18"/>
      <c r="H780" s="18"/>
    </row>
    <row r="781" spans="1:8" ht="14.25" customHeight="1">
      <c r="A781" s="18"/>
      <c r="B781" s="18"/>
      <c r="C781" s="18"/>
      <c r="D781" s="18"/>
      <c r="E781" s="18"/>
      <c r="F781" s="18"/>
      <c r="G781" s="18"/>
      <c r="H781" s="18"/>
    </row>
    <row r="782" spans="1:8" ht="14.25" customHeight="1">
      <c r="A782" s="18"/>
      <c r="B782" s="18"/>
      <c r="C782" s="18"/>
      <c r="D782" s="18"/>
      <c r="E782" s="18"/>
      <c r="F782" s="18"/>
      <c r="G782" s="18"/>
      <c r="H782" s="18"/>
    </row>
    <row r="783" spans="1:8" ht="14.25" customHeight="1">
      <c r="A783" s="18"/>
      <c r="B783" s="18"/>
      <c r="C783" s="18"/>
      <c r="D783" s="18"/>
      <c r="E783" s="18"/>
      <c r="F783" s="18"/>
      <c r="G783" s="18"/>
      <c r="H783" s="18"/>
    </row>
    <row r="784" spans="1:8" ht="14.25" customHeight="1">
      <c r="A784" s="18"/>
      <c r="B784" s="18"/>
      <c r="C784" s="18"/>
      <c r="D784" s="18"/>
      <c r="E784" s="18"/>
      <c r="F784" s="18"/>
      <c r="G784" s="18"/>
      <c r="H784" s="18"/>
    </row>
    <row r="785" spans="1:8" ht="14.25" customHeight="1">
      <c r="A785" s="18"/>
      <c r="B785" s="18"/>
      <c r="C785" s="18"/>
      <c r="D785" s="18"/>
      <c r="E785" s="18"/>
      <c r="F785" s="18"/>
      <c r="G785" s="18"/>
      <c r="H785" s="18"/>
    </row>
    <row r="786" spans="1:8" ht="14.25" customHeight="1">
      <c r="A786" s="18"/>
      <c r="B786" s="18"/>
      <c r="C786" s="18"/>
      <c r="D786" s="18"/>
      <c r="E786" s="18"/>
      <c r="F786" s="18"/>
      <c r="G786" s="18"/>
      <c r="H786" s="18"/>
    </row>
    <row r="787" spans="1:8" ht="14.25" customHeight="1">
      <c r="A787" s="18"/>
      <c r="B787" s="18"/>
      <c r="C787" s="18"/>
      <c r="D787" s="18"/>
      <c r="E787" s="18"/>
      <c r="F787" s="18"/>
      <c r="G787" s="18"/>
      <c r="H787" s="18"/>
    </row>
    <row r="788" spans="1:8" ht="14.25" customHeight="1">
      <c r="A788" s="18"/>
      <c r="B788" s="18"/>
      <c r="C788" s="18"/>
      <c r="D788" s="18"/>
      <c r="E788" s="18"/>
      <c r="F788" s="18"/>
      <c r="G788" s="18"/>
      <c r="H788" s="18"/>
    </row>
    <row r="789" spans="1:8" ht="14.25" customHeight="1">
      <c r="A789" s="18"/>
      <c r="B789" s="18"/>
      <c r="C789" s="18"/>
      <c r="D789" s="18"/>
      <c r="E789" s="18"/>
      <c r="F789" s="18"/>
      <c r="G789" s="18"/>
      <c r="H789" s="18"/>
    </row>
    <row r="790" spans="1:8" ht="14.25" customHeight="1">
      <c r="A790" s="18"/>
      <c r="B790" s="18"/>
      <c r="C790" s="18"/>
      <c r="D790" s="18"/>
      <c r="E790" s="18"/>
      <c r="F790" s="18"/>
      <c r="G790" s="18"/>
      <c r="H790" s="18"/>
    </row>
    <row r="791" spans="1:8" ht="14.25" customHeight="1">
      <c r="A791" s="18"/>
      <c r="B791" s="18"/>
      <c r="C791" s="18"/>
      <c r="D791" s="18"/>
      <c r="E791" s="18"/>
      <c r="F791" s="18"/>
      <c r="G791" s="18"/>
      <c r="H791" s="18"/>
    </row>
    <row r="792" spans="1:8" ht="14.25" customHeight="1">
      <c r="A792" s="18"/>
      <c r="B792" s="18"/>
      <c r="C792" s="18"/>
      <c r="D792" s="18"/>
      <c r="E792" s="18"/>
      <c r="F792" s="18"/>
      <c r="G792" s="18"/>
      <c r="H792" s="18"/>
    </row>
    <row r="793" spans="1:8" ht="14.25" customHeight="1">
      <c r="A793" s="18"/>
      <c r="B793" s="18"/>
      <c r="C793" s="18"/>
      <c r="D793" s="18"/>
      <c r="E793" s="18"/>
      <c r="F793" s="18"/>
      <c r="G793" s="18"/>
      <c r="H793" s="18"/>
    </row>
    <row r="794" spans="1:8" ht="14.25" customHeight="1">
      <c r="A794" s="18"/>
      <c r="B794" s="18"/>
      <c r="C794" s="18"/>
      <c r="D794" s="18"/>
      <c r="E794" s="18"/>
      <c r="F794" s="18"/>
      <c r="G794" s="18"/>
      <c r="H794" s="18"/>
    </row>
    <row r="795" spans="1:8" ht="14.25" customHeight="1">
      <c r="A795" s="18"/>
      <c r="B795" s="18"/>
      <c r="C795" s="18"/>
      <c r="D795" s="18"/>
      <c r="E795" s="18"/>
      <c r="F795" s="18"/>
      <c r="G795" s="18"/>
      <c r="H795" s="18"/>
    </row>
    <row r="796" spans="1:8" ht="14.25" customHeight="1">
      <c r="A796" s="18"/>
      <c r="B796" s="18"/>
      <c r="C796" s="18"/>
      <c r="D796" s="18"/>
      <c r="E796" s="18"/>
      <c r="F796" s="18"/>
      <c r="G796" s="18"/>
      <c r="H796" s="18"/>
    </row>
    <row r="797" spans="1:8" ht="14.25" customHeight="1">
      <c r="A797" s="18"/>
      <c r="B797" s="18"/>
      <c r="C797" s="18"/>
      <c r="D797" s="18"/>
      <c r="E797" s="18"/>
      <c r="F797" s="18"/>
      <c r="G797" s="18"/>
      <c r="H797" s="18"/>
    </row>
    <row r="798" spans="1:8" ht="14.25" customHeight="1">
      <c r="A798" s="18"/>
      <c r="B798" s="18"/>
      <c r="C798" s="18"/>
      <c r="D798" s="18"/>
      <c r="E798" s="18"/>
      <c r="F798" s="18"/>
      <c r="G798" s="18"/>
      <c r="H798" s="18"/>
    </row>
    <row r="799" spans="1:8" ht="14.25" customHeight="1">
      <c r="A799" s="18"/>
      <c r="B799" s="18"/>
      <c r="C799" s="18"/>
      <c r="D799" s="18"/>
      <c r="E799" s="18"/>
      <c r="F799" s="18"/>
      <c r="G799" s="18"/>
      <c r="H799" s="18"/>
    </row>
    <row r="800" spans="1:8" ht="14.25" customHeight="1">
      <c r="A800" s="18"/>
      <c r="B800" s="18"/>
      <c r="C800" s="18"/>
      <c r="D800" s="18"/>
      <c r="E800" s="18"/>
      <c r="F800" s="18"/>
      <c r="G800" s="18"/>
      <c r="H800" s="18"/>
    </row>
    <row r="801" spans="1:8" ht="14.25" customHeight="1">
      <c r="A801" s="18"/>
      <c r="B801" s="18"/>
      <c r="C801" s="18"/>
      <c r="D801" s="18"/>
      <c r="E801" s="18"/>
      <c r="F801" s="18"/>
      <c r="G801" s="18"/>
      <c r="H801" s="18"/>
    </row>
    <row r="802" spans="1:8" ht="14.25" customHeight="1">
      <c r="A802" s="18"/>
      <c r="B802" s="18"/>
      <c r="C802" s="18"/>
      <c r="D802" s="18"/>
      <c r="E802" s="18"/>
      <c r="F802" s="18"/>
      <c r="G802" s="18"/>
      <c r="H802" s="18"/>
    </row>
    <row r="803" spans="1:8" ht="14.25" customHeight="1">
      <c r="A803" s="18"/>
      <c r="B803" s="18"/>
      <c r="C803" s="18"/>
      <c r="D803" s="18"/>
      <c r="E803" s="18"/>
      <c r="F803" s="18"/>
      <c r="G803" s="18"/>
      <c r="H803" s="18"/>
    </row>
    <row r="804" spans="1:8" ht="14.25" customHeight="1">
      <c r="A804" s="18"/>
      <c r="B804" s="18"/>
      <c r="C804" s="18"/>
      <c r="D804" s="18"/>
      <c r="E804" s="18"/>
      <c r="F804" s="18"/>
      <c r="G804" s="18"/>
      <c r="H804" s="18"/>
    </row>
    <row r="805" spans="1:8" ht="14.25" customHeight="1">
      <c r="A805" s="18"/>
      <c r="B805" s="18"/>
      <c r="C805" s="18"/>
      <c r="D805" s="18"/>
      <c r="E805" s="18"/>
      <c r="F805" s="18"/>
      <c r="G805" s="18"/>
      <c r="H805" s="18"/>
    </row>
    <row r="806" spans="1:8" ht="14.25" customHeight="1">
      <c r="A806" s="18"/>
      <c r="B806" s="18"/>
      <c r="C806" s="18"/>
      <c r="D806" s="18"/>
      <c r="E806" s="18"/>
      <c r="F806" s="18"/>
      <c r="G806" s="18"/>
      <c r="H806" s="18"/>
    </row>
    <row r="807" spans="1:8" ht="14.25" customHeight="1">
      <c r="A807" s="18"/>
      <c r="B807" s="18"/>
      <c r="C807" s="18"/>
      <c r="D807" s="18"/>
      <c r="E807" s="18"/>
      <c r="F807" s="18"/>
      <c r="G807" s="18"/>
      <c r="H807" s="18"/>
    </row>
    <row r="808" spans="1:8" ht="14.25" customHeight="1">
      <c r="A808" s="18"/>
      <c r="B808" s="18"/>
      <c r="C808" s="18"/>
      <c r="D808" s="18"/>
      <c r="E808" s="18"/>
      <c r="F808" s="18"/>
      <c r="G808" s="18"/>
      <c r="H808" s="18"/>
    </row>
    <row r="809" spans="1:8" ht="14.25" customHeight="1">
      <c r="A809" s="18"/>
      <c r="B809" s="18"/>
      <c r="C809" s="18"/>
      <c r="D809" s="18"/>
      <c r="E809" s="18"/>
      <c r="F809" s="18"/>
      <c r="G809" s="18"/>
      <c r="H809" s="18"/>
    </row>
    <row r="810" spans="1:8" ht="14.25" customHeight="1">
      <c r="A810" s="18"/>
      <c r="B810" s="18"/>
      <c r="C810" s="18"/>
      <c r="D810" s="18"/>
      <c r="E810" s="18"/>
      <c r="F810" s="18"/>
      <c r="G810" s="18"/>
      <c r="H810" s="18"/>
    </row>
    <row r="811" spans="1:8" ht="14.25" customHeight="1">
      <c r="A811" s="18"/>
      <c r="B811" s="18"/>
      <c r="C811" s="18"/>
      <c r="D811" s="18"/>
      <c r="E811" s="18"/>
      <c r="F811" s="18"/>
      <c r="G811" s="18"/>
      <c r="H811" s="18"/>
    </row>
    <row r="812" spans="1:8" ht="14.25" customHeight="1">
      <c r="A812" s="18"/>
      <c r="B812" s="18"/>
      <c r="C812" s="18"/>
      <c r="D812" s="18"/>
      <c r="E812" s="18"/>
      <c r="F812" s="18"/>
      <c r="G812" s="18"/>
      <c r="H812" s="18"/>
    </row>
    <row r="813" spans="1:8" ht="14.25" customHeight="1">
      <c r="A813" s="18"/>
      <c r="B813" s="18"/>
      <c r="C813" s="18"/>
      <c r="D813" s="18"/>
      <c r="E813" s="18"/>
      <c r="F813" s="18"/>
      <c r="G813" s="18"/>
      <c r="H813" s="18"/>
    </row>
    <row r="814" spans="1:8" ht="14.25" customHeight="1">
      <c r="A814" s="18"/>
      <c r="B814" s="18"/>
      <c r="C814" s="18"/>
      <c r="D814" s="18"/>
      <c r="E814" s="18"/>
      <c r="F814" s="18"/>
      <c r="G814" s="18"/>
      <c r="H814" s="18"/>
    </row>
    <row r="815" spans="1:8" ht="14.25" customHeight="1">
      <c r="A815" s="18"/>
      <c r="B815" s="18"/>
      <c r="C815" s="18"/>
      <c r="D815" s="18"/>
      <c r="E815" s="18"/>
      <c r="F815" s="18"/>
      <c r="G815" s="18"/>
      <c r="H815" s="18"/>
    </row>
    <row r="816" spans="1:8" ht="14.25" customHeight="1">
      <c r="A816" s="18"/>
      <c r="B816" s="18"/>
      <c r="C816" s="18"/>
      <c r="D816" s="18"/>
      <c r="E816" s="18"/>
      <c r="F816" s="18"/>
      <c r="G816" s="18"/>
      <c r="H816" s="18"/>
    </row>
    <row r="817" spans="1:8" ht="14.25" customHeight="1">
      <c r="A817" s="18"/>
      <c r="B817" s="18"/>
      <c r="C817" s="18"/>
      <c r="D817" s="18"/>
      <c r="E817" s="18"/>
      <c r="F817" s="18"/>
      <c r="G817" s="18"/>
      <c r="H817" s="18"/>
    </row>
    <row r="818" spans="1:8" ht="14.25" customHeight="1">
      <c r="A818" s="18"/>
      <c r="B818" s="18"/>
      <c r="C818" s="18"/>
      <c r="D818" s="18"/>
      <c r="E818" s="18"/>
      <c r="F818" s="18"/>
      <c r="G818" s="18"/>
      <c r="H818" s="18"/>
    </row>
    <row r="819" spans="1:8" ht="14.25" customHeight="1">
      <c r="A819" s="18"/>
      <c r="B819" s="18"/>
      <c r="C819" s="18"/>
      <c r="D819" s="18"/>
      <c r="E819" s="18"/>
      <c r="F819" s="18"/>
      <c r="G819" s="18"/>
      <c r="H819" s="18"/>
    </row>
    <row r="820" spans="1:8" ht="14.25" customHeight="1">
      <c r="A820" s="18"/>
      <c r="B820" s="18"/>
      <c r="C820" s="18"/>
      <c r="D820" s="18"/>
      <c r="E820" s="18"/>
      <c r="F820" s="18"/>
      <c r="G820" s="18"/>
      <c r="H820" s="18"/>
    </row>
    <row r="821" spans="1:8" ht="14.25" customHeight="1">
      <c r="A821" s="18"/>
      <c r="B821" s="18"/>
      <c r="C821" s="18"/>
      <c r="D821" s="18"/>
      <c r="E821" s="18"/>
      <c r="F821" s="18"/>
      <c r="G821" s="18"/>
      <c r="H821" s="18"/>
    </row>
    <row r="822" spans="1:8" ht="14.25" customHeight="1">
      <c r="A822" s="18"/>
      <c r="B822" s="18"/>
      <c r="C822" s="18"/>
      <c r="D822" s="18"/>
      <c r="E822" s="18"/>
      <c r="F822" s="18"/>
      <c r="G822" s="18"/>
      <c r="H822" s="18"/>
    </row>
    <row r="823" spans="1:8" ht="14.25" customHeight="1">
      <c r="A823" s="18"/>
      <c r="B823" s="18"/>
      <c r="C823" s="18"/>
      <c r="D823" s="18"/>
      <c r="E823" s="18"/>
      <c r="F823" s="18"/>
      <c r="G823" s="18"/>
      <c r="H823" s="18"/>
    </row>
    <row r="824" spans="1:8" ht="14.25" customHeight="1">
      <c r="A824" s="18"/>
      <c r="B824" s="18"/>
      <c r="C824" s="18"/>
      <c r="D824" s="18"/>
      <c r="E824" s="18"/>
      <c r="F824" s="18"/>
      <c r="G824" s="18"/>
      <c r="H824" s="18"/>
    </row>
    <row r="825" spans="1:8" ht="14.25" customHeight="1">
      <c r="A825" s="18"/>
      <c r="B825" s="18"/>
      <c r="C825" s="18"/>
      <c r="D825" s="18"/>
      <c r="E825" s="18"/>
      <c r="F825" s="18"/>
      <c r="G825" s="18"/>
      <c r="H825" s="18"/>
    </row>
    <row r="826" spans="1:8" ht="14.25" customHeight="1">
      <c r="A826" s="18"/>
      <c r="B826" s="18"/>
      <c r="C826" s="18"/>
      <c r="D826" s="18"/>
      <c r="E826" s="18"/>
      <c r="F826" s="18"/>
      <c r="G826" s="18"/>
      <c r="H826" s="18"/>
    </row>
    <row r="827" spans="1:8" ht="14.25" customHeight="1">
      <c r="A827" s="18"/>
      <c r="B827" s="18"/>
      <c r="C827" s="18"/>
      <c r="D827" s="18"/>
      <c r="E827" s="18"/>
      <c r="F827" s="18"/>
      <c r="G827" s="18"/>
      <c r="H827" s="18"/>
    </row>
    <row r="828" spans="1:8" ht="14.25" customHeight="1">
      <c r="A828" s="18"/>
      <c r="B828" s="18"/>
      <c r="C828" s="18"/>
      <c r="D828" s="18"/>
      <c r="E828" s="18"/>
      <c r="F828" s="18"/>
      <c r="G828" s="18"/>
      <c r="H828" s="18"/>
    </row>
    <row r="829" spans="1:8" ht="14.25" customHeight="1">
      <c r="A829" s="18"/>
      <c r="B829" s="18"/>
      <c r="C829" s="18"/>
      <c r="D829" s="18"/>
      <c r="E829" s="18"/>
      <c r="F829" s="18"/>
      <c r="G829" s="18"/>
      <c r="H829" s="18"/>
    </row>
    <row r="830" spans="1:8" ht="14.25" customHeight="1">
      <c r="A830" s="18"/>
      <c r="B830" s="18"/>
      <c r="C830" s="18"/>
      <c r="D830" s="18"/>
      <c r="E830" s="18"/>
      <c r="F830" s="18"/>
      <c r="G830" s="18"/>
      <c r="H830" s="18"/>
    </row>
    <row r="831" spans="1:8" ht="14.25" customHeight="1">
      <c r="A831" s="18"/>
      <c r="B831" s="18"/>
      <c r="C831" s="18"/>
      <c r="D831" s="18"/>
      <c r="E831" s="18"/>
      <c r="F831" s="18"/>
      <c r="G831" s="18"/>
      <c r="H831" s="18"/>
    </row>
    <row r="832" spans="1:8" ht="14.25" customHeight="1">
      <c r="A832" s="18"/>
      <c r="B832" s="18"/>
      <c r="C832" s="18"/>
      <c r="D832" s="18"/>
      <c r="E832" s="18"/>
      <c r="F832" s="18"/>
      <c r="G832" s="18"/>
      <c r="H832" s="18"/>
    </row>
    <row r="833" spans="1:8" ht="14.25" customHeight="1">
      <c r="A833" s="18"/>
      <c r="B833" s="18"/>
      <c r="C833" s="18"/>
      <c r="D833" s="18"/>
      <c r="E833" s="18"/>
      <c r="F833" s="18"/>
      <c r="G833" s="18"/>
      <c r="H833" s="18"/>
    </row>
    <row r="834" spans="1:8" ht="14.25" customHeight="1">
      <c r="A834" s="18"/>
      <c r="B834" s="18"/>
      <c r="C834" s="18"/>
      <c r="D834" s="18"/>
      <c r="E834" s="18"/>
      <c r="F834" s="18"/>
      <c r="G834" s="18"/>
      <c r="H834" s="18"/>
    </row>
    <row r="835" spans="1:8" ht="14.25" customHeight="1">
      <c r="A835" s="18"/>
      <c r="B835" s="18"/>
      <c r="C835" s="18"/>
      <c r="D835" s="18"/>
      <c r="E835" s="18"/>
      <c r="F835" s="18"/>
      <c r="G835" s="18"/>
      <c r="H835" s="18"/>
    </row>
    <row r="836" spans="1:8" ht="14.25" customHeight="1">
      <c r="A836" s="18"/>
      <c r="B836" s="18"/>
      <c r="C836" s="18"/>
      <c r="D836" s="18"/>
      <c r="E836" s="18"/>
      <c r="F836" s="18"/>
      <c r="G836" s="18"/>
      <c r="H836" s="18"/>
    </row>
    <row r="837" spans="1:8" ht="14.25" customHeight="1">
      <c r="A837" s="18"/>
      <c r="B837" s="18"/>
      <c r="C837" s="18"/>
      <c r="D837" s="18"/>
      <c r="E837" s="18"/>
      <c r="F837" s="18"/>
      <c r="G837" s="18"/>
      <c r="H837" s="18"/>
    </row>
    <row r="838" spans="1:8" ht="14.25" customHeight="1">
      <c r="A838" s="18"/>
      <c r="B838" s="18"/>
      <c r="C838" s="18"/>
      <c r="D838" s="18"/>
      <c r="E838" s="18"/>
      <c r="F838" s="18"/>
      <c r="G838" s="18"/>
      <c r="H838" s="18"/>
    </row>
    <row r="839" spans="1:8" ht="14.25" customHeight="1">
      <c r="A839" s="18"/>
      <c r="B839" s="18"/>
      <c r="C839" s="18"/>
      <c r="D839" s="18"/>
      <c r="E839" s="18"/>
      <c r="F839" s="18"/>
      <c r="G839" s="18"/>
      <c r="H839" s="18"/>
    </row>
    <row r="840" spans="1:8" ht="14.25" customHeight="1">
      <c r="A840" s="18"/>
      <c r="B840" s="18"/>
      <c r="C840" s="18"/>
      <c r="D840" s="18"/>
      <c r="E840" s="18"/>
      <c r="F840" s="18"/>
      <c r="G840" s="18"/>
      <c r="H840" s="18"/>
    </row>
    <row r="841" spans="1:8" ht="14.25" customHeight="1">
      <c r="A841" s="18"/>
      <c r="B841" s="18"/>
      <c r="C841" s="18"/>
      <c r="D841" s="18"/>
      <c r="E841" s="18"/>
      <c r="F841" s="18"/>
      <c r="G841" s="18"/>
      <c r="H841" s="18"/>
    </row>
    <row r="842" spans="1:8" ht="14.25" customHeight="1">
      <c r="A842" s="18"/>
      <c r="B842" s="18"/>
      <c r="C842" s="18"/>
      <c r="D842" s="18"/>
      <c r="E842" s="18"/>
      <c r="F842" s="18"/>
      <c r="G842" s="18"/>
      <c r="H842" s="18"/>
    </row>
    <row r="843" spans="1:8" ht="14.25" customHeight="1">
      <c r="A843" s="18"/>
      <c r="B843" s="18"/>
      <c r="C843" s="18"/>
      <c r="D843" s="18"/>
      <c r="E843" s="18"/>
      <c r="F843" s="18"/>
      <c r="G843" s="18"/>
      <c r="H843" s="18"/>
    </row>
    <row r="844" spans="1:8" ht="14.25" customHeight="1">
      <c r="A844" s="18"/>
      <c r="B844" s="18"/>
      <c r="C844" s="18"/>
      <c r="D844" s="18"/>
      <c r="E844" s="18"/>
      <c r="F844" s="18"/>
      <c r="G844" s="18"/>
      <c r="H844" s="18"/>
    </row>
    <row r="845" spans="1:8" ht="14.25" customHeight="1">
      <c r="A845" s="18"/>
      <c r="B845" s="18"/>
      <c r="C845" s="18"/>
      <c r="D845" s="18"/>
      <c r="E845" s="18"/>
      <c r="F845" s="18"/>
      <c r="G845" s="18"/>
      <c r="H845" s="18"/>
    </row>
    <row r="846" spans="1:8" ht="14.25" customHeight="1">
      <c r="A846" s="18"/>
      <c r="B846" s="18"/>
      <c r="C846" s="18"/>
      <c r="D846" s="18"/>
      <c r="E846" s="18"/>
      <c r="F846" s="18"/>
      <c r="G846" s="18"/>
      <c r="H846" s="18"/>
    </row>
    <row r="847" spans="1:8" ht="14.25" customHeight="1">
      <c r="A847" s="18"/>
      <c r="B847" s="18"/>
      <c r="C847" s="18"/>
      <c r="D847" s="18"/>
      <c r="E847" s="18"/>
      <c r="F847" s="18"/>
      <c r="G847" s="18"/>
      <c r="H847" s="18"/>
    </row>
    <row r="848" spans="1:8" ht="14.25" customHeight="1">
      <c r="A848" s="18"/>
      <c r="B848" s="18"/>
      <c r="C848" s="18"/>
      <c r="D848" s="18"/>
      <c r="E848" s="18"/>
      <c r="F848" s="18"/>
      <c r="G848" s="18"/>
      <c r="H848" s="18"/>
    </row>
    <row r="849" spans="1:8" ht="14.25" customHeight="1">
      <c r="A849" s="18"/>
      <c r="B849" s="18"/>
      <c r="C849" s="18"/>
      <c r="D849" s="18"/>
      <c r="E849" s="18"/>
      <c r="F849" s="18"/>
      <c r="G849" s="18"/>
      <c r="H849" s="18"/>
    </row>
    <row r="850" spans="1:8" ht="14.25" customHeight="1">
      <c r="A850" s="18"/>
      <c r="B850" s="18"/>
      <c r="C850" s="18"/>
      <c r="D850" s="18"/>
      <c r="E850" s="18"/>
      <c r="F850" s="18"/>
      <c r="G850" s="18"/>
      <c r="H850" s="18"/>
    </row>
    <row r="851" spans="1:8" ht="14.25" customHeight="1">
      <c r="A851" s="18"/>
      <c r="B851" s="18"/>
      <c r="C851" s="18"/>
      <c r="D851" s="18"/>
      <c r="E851" s="18"/>
      <c r="F851" s="18"/>
      <c r="G851" s="18"/>
      <c r="H851" s="18"/>
    </row>
    <row r="852" spans="1:8" ht="14.25" customHeight="1">
      <c r="A852" s="18"/>
      <c r="B852" s="18"/>
      <c r="C852" s="18"/>
      <c r="D852" s="18"/>
      <c r="E852" s="18"/>
      <c r="F852" s="18"/>
      <c r="G852" s="18"/>
      <c r="H852" s="18"/>
    </row>
    <row r="853" spans="1:8" ht="14.25" customHeight="1">
      <c r="A853" s="18"/>
      <c r="B853" s="18"/>
      <c r="C853" s="18"/>
      <c r="D853" s="18"/>
      <c r="E853" s="18"/>
      <c r="F853" s="18"/>
      <c r="G853" s="18"/>
      <c r="H853" s="18"/>
    </row>
    <row r="854" spans="1:8" ht="14.25" customHeight="1">
      <c r="A854" s="18"/>
      <c r="B854" s="18"/>
      <c r="C854" s="18"/>
      <c r="D854" s="18"/>
      <c r="E854" s="18"/>
      <c r="F854" s="18"/>
      <c r="G854" s="18"/>
      <c r="H854" s="18"/>
    </row>
    <row r="855" spans="1:8" ht="14.25" customHeight="1">
      <c r="A855" s="18"/>
      <c r="B855" s="18"/>
      <c r="C855" s="18"/>
      <c r="D855" s="18"/>
      <c r="E855" s="18"/>
      <c r="F855" s="18"/>
      <c r="G855" s="18"/>
      <c r="H855" s="18"/>
    </row>
    <row r="856" spans="1:8" ht="14.25" customHeight="1">
      <c r="A856" s="18"/>
      <c r="B856" s="18"/>
      <c r="C856" s="18"/>
      <c r="D856" s="18"/>
      <c r="E856" s="18"/>
      <c r="F856" s="18"/>
      <c r="G856" s="18"/>
      <c r="H856" s="18"/>
    </row>
    <row r="857" spans="1:8" ht="14.25" customHeight="1">
      <c r="A857" s="18"/>
      <c r="B857" s="18"/>
      <c r="C857" s="18"/>
      <c r="D857" s="18"/>
      <c r="E857" s="18"/>
      <c r="F857" s="18"/>
      <c r="G857" s="18"/>
      <c r="H857" s="18"/>
    </row>
    <row r="858" spans="1:8" ht="14.25" customHeight="1">
      <c r="A858" s="18"/>
      <c r="B858" s="18"/>
      <c r="C858" s="18"/>
      <c r="D858" s="18"/>
      <c r="E858" s="18"/>
      <c r="F858" s="18"/>
      <c r="G858" s="18"/>
      <c r="H858" s="18"/>
    </row>
    <row r="859" spans="1:8" ht="14.25" customHeight="1">
      <c r="A859" s="18"/>
      <c r="B859" s="18"/>
      <c r="C859" s="18"/>
      <c r="D859" s="18"/>
      <c r="E859" s="18"/>
      <c r="F859" s="18"/>
      <c r="G859" s="18"/>
      <c r="H859" s="18"/>
    </row>
    <row r="860" spans="1:8" ht="14.25" customHeight="1">
      <c r="A860" s="18"/>
      <c r="B860" s="18"/>
      <c r="C860" s="18"/>
      <c r="D860" s="18"/>
      <c r="E860" s="18"/>
      <c r="F860" s="18"/>
      <c r="G860" s="18"/>
      <c r="H860" s="18"/>
    </row>
    <row r="861" spans="1:8" ht="14.25" customHeight="1">
      <c r="A861" s="18"/>
      <c r="B861" s="18"/>
      <c r="C861" s="18"/>
      <c r="D861" s="18"/>
      <c r="E861" s="18"/>
      <c r="F861" s="18"/>
      <c r="G861" s="18"/>
      <c r="H861" s="18"/>
    </row>
    <row r="862" spans="1:8" ht="14.25" customHeight="1">
      <c r="A862" s="18"/>
      <c r="B862" s="18"/>
      <c r="C862" s="18"/>
      <c r="D862" s="18"/>
      <c r="E862" s="18"/>
      <c r="F862" s="18"/>
      <c r="G862" s="18"/>
      <c r="H862" s="18"/>
    </row>
    <row r="863" spans="1:8" ht="14.25" customHeight="1">
      <c r="A863" s="18"/>
      <c r="B863" s="18"/>
      <c r="C863" s="18"/>
      <c r="D863" s="18"/>
      <c r="E863" s="18"/>
      <c r="F863" s="18"/>
      <c r="G863" s="18"/>
      <c r="H863" s="18"/>
    </row>
    <row r="864" spans="1:8" ht="14.25" customHeight="1">
      <c r="A864" s="18"/>
      <c r="B864" s="18"/>
      <c r="C864" s="18"/>
      <c r="D864" s="18"/>
      <c r="E864" s="18"/>
      <c r="F864" s="18"/>
      <c r="G864" s="18"/>
      <c r="H864" s="18"/>
    </row>
    <row r="865" spans="1:8" ht="14.25" customHeight="1">
      <c r="A865" s="18"/>
      <c r="B865" s="18"/>
      <c r="C865" s="18"/>
      <c r="D865" s="18"/>
      <c r="E865" s="18"/>
      <c r="F865" s="18"/>
      <c r="G865" s="18"/>
      <c r="H865" s="18"/>
    </row>
    <row r="866" spans="1:8" ht="14.25" customHeight="1">
      <c r="A866" s="18"/>
      <c r="B866" s="18"/>
      <c r="C866" s="18"/>
      <c r="D866" s="18"/>
      <c r="E866" s="18"/>
      <c r="F866" s="18"/>
      <c r="G866" s="18"/>
      <c r="H866" s="18"/>
    </row>
    <row r="867" spans="1:8" ht="14.25" customHeight="1">
      <c r="A867" s="18"/>
      <c r="B867" s="18"/>
      <c r="C867" s="18"/>
      <c r="D867" s="18"/>
      <c r="E867" s="18"/>
      <c r="F867" s="18"/>
      <c r="G867" s="18"/>
      <c r="H867" s="18"/>
    </row>
    <row r="868" spans="1:8" ht="14.25" customHeight="1">
      <c r="A868" s="18"/>
      <c r="B868" s="18"/>
      <c r="C868" s="18"/>
      <c r="D868" s="18"/>
      <c r="E868" s="18"/>
      <c r="F868" s="18"/>
      <c r="G868" s="18"/>
      <c r="H868" s="18"/>
    </row>
    <row r="869" spans="1:8" ht="14.25" customHeight="1">
      <c r="A869" s="18"/>
      <c r="B869" s="18"/>
      <c r="C869" s="18"/>
      <c r="D869" s="18"/>
      <c r="E869" s="18"/>
      <c r="F869" s="18"/>
      <c r="G869" s="18"/>
      <c r="H869" s="18"/>
    </row>
    <row r="870" spans="1:8" ht="14.25" customHeight="1">
      <c r="A870" s="18"/>
      <c r="B870" s="18"/>
      <c r="C870" s="18"/>
      <c r="D870" s="18"/>
      <c r="E870" s="18"/>
      <c r="F870" s="18"/>
      <c r="G870" s="18"/>
      <c r="H870" s="18"/>
    </row>
    <row r="871" spans="1:8" ht="14.25" customHeight="1">
      <c r="A871" s="18"/>
      <c r="B871" s="18"/>
      <c r="C871" s="18"/>
      <c r="D871" s="18"/>
      <c r="E871" s="18"/>
      <c r="F871" s="18"/>
      <c r="G871" s="18"/>
      <c r="H871" s="18"/>
    </row>
    <row r="872" spans="1:8" ht="14.25" customHeight="1">
      <c r="A872" s="18"/>
      <c r="B872" s="18"/>
      <c r="C872" s="18"/>
      <c r="D872" s="18"/>
      <c r="E872" s="18"/>
      <c r="F872" s="18"/>
      <c r="G872" s="18"/>
      <c r="H872" s="18"/>
    </row>
    <row r="873" spans="1:8" ht="14.25" customHeight="1">
      <c r="A873" s="18"/>
      <c r="B873" s="18"/>
      <c r="C873" s="18"/>
      <c r="D873" s="18"/>
      <c r="E873" s="18"/>
      <c r="F873" s="18"/>
      <c r="G873" s="18"/>
      <c r="H873" s="18"/>
    </row>
    <row r="874" spans="1:8" ht="14.25" customHeight="1">
      <c r="A874" s="18"/>
      <c r="B874" s="18"/>
      <c r="C874" s="18"/>
      <c r="D874" s="18"/>
      <c r="E874" s="18"/>
      <c r="F874" s="18"/>
      <c r="G874" s="18"/>
      <c r="H874" s="18"/>
    </row>
    <row r="875" spans="1:8" ht="14.25" customHeight="1">
      <c r="A875" s="18"/>
      <c r="B875" s="18"/>
      <c r="C875" s="18"/>
      <c r="D875" s="18"/>
      <c r="E875" s="18"/>
      <c r="F875" s="18"/>
      <c r="G875" s="18"/>
      <c r="H875" s="18"/>
    </row>
    <row r="876" spans="1:8" ht="14.25" customHeight="1">
      <c r="A876" s="18"/>
      <c r="B876" s="18"/>
      <c r="C876" s="18"/>
      <c r="D876" s="18"/>
      <c r="E876" s="18"/>
      <c r="F876" s="18"/>
      <c r="G876" s="18"/>
      <c r="H876" s="18"/>
    </row>
    <row r="877" spans="1:8" ht="14.25" customHeight="1">
      <c r="A877" s="18"/>
      <c r="B877" s="18"/>
      <c r="C877" s="18"/>
      <c r="D877" s="18"/>
      <c r="E877" s="18"/>
      <c r="F877" s="18"/>
      <c r="G877" s="18"/>
      <c r="H877" s="18"/>
    </row>
    <row r="878" spans="1:8" ht="14.25" customHeight="1">
      <c r="A878" s="18"/>
      <c r="B878" s="18"/>
      <c r="C878" s="18"/>
      <c r="D878" s="18"/>
      <c r="E878" s="18"/>
      <c r="F878" s="18"/>
      <c r="G878" s="18"/>
      <c r="H878" s="18"/>
    </row>
    <row r="879" spans="1:8" ht="14.25" customHeight="1">
      <c r="A879" s="18"/>
      <c r="B879" s="18"/>
      <c r="C879" s="18"/>
      <c r="D879" s="18"/>
      <c r="E879" s="18"/>
      <c r="F879" s="18"/>
      <c r="G879" s="18"/>
      <c r="H879" s="18"/>
    </row>
    <row r="880" spans="1:8" ht="14.25" customHeight="1">
      <c r="A880" s="18"/>
      <c r="B880" s="18"/>
      <c r="C880" s="18"/>
      <c r="D880" s="18"/>
      <c r="E880" s="18"/>
      <c r="F880" s="18"/>
      <c r="G880" s="18"/>
      <c r="H880" s="18"/>
    </row>
    <row r="881" spans="1:8" ht="14.25" customHeight="1">
      <c r="A881" s="18"/>
      <c r="B881" s="18"/>
      <c r="C881" s="18"/>
      <c r="D881" s="18"/>
      <c r="E881" s="18"/>
      <c r="F881" s="18"/>
      <c r="G881" s="18"/>
      <c r="H881" s="18"/>
    </row>
    <row r="882" spans="1:8" ht="14.25" customHeight="1">
      <c r="A882" s="18"/>
      <c r="B882" s="18"/>
      <c r="C882" s="18"/>
      <c r="D882" s="18"/>
      <c r="E882" s="18"/>
      <c r="F882" s="18"/>
      <c r="G882" s="18"/>
      <c r="H882" s="18"/>
    </row>
    <row r="883" spans="1:8" ht="14.25" customHeight="1">
      <c r="A883" s="18"/>
      <c r="B883" s="18"/>
      <c r="C883" s="18"/>
      <c r="D883" s="18"/>
      <c r="E883" s="18"/>
      <c r="F883" s="18"/>
      <c r="G883" s="18"/>
      <c r="H883" s="18"/>
    </row>
    <row r="884" spans="1:8" ht="14.25" customHeight="1">
      <c r="A884" s="18"/>
      <c r="B884" s="18"/>
      <c r="C884" s="18"/>
      <c r="D884" s="18"/>
      <c r="E884" s="18"/>
      <c r="F884" s="18"/>
      <c r="G884" s="18"/>
      <c r="H884" s="18"/>
    </row>
    <row r="885" spans="1:8" ht="14.25" customHeight="1">
      <c r="A885" s="18"/>
      <c r="B885" s="18"/>
      <c r="C885" s="18"/>
      <c r="D885" s="18"/>
      <c r="E885" s="18"/>
      <c r="F885" s="18"/>
      <c r="G885" s="18"/>
      <c r="H885" s="18"/>
    </row>
    <row r="886" spans="1:8" ht="14.25" customHeight="1">
      <c r="A886" s="18"/>
      <c r="B886" s="18"/>
      <c r="C886" s="18"/>
      <c r="D886" s="18"/>
      <c r="E886" s="18"/>
      <c r="F886" s="18"/>
      <c r="G886" s="18"/>
      <c r="H886" s="18"/>
    </row>
    <row r="887" spans="1:8" ht="14.25" customHeight="1">
      <c r="A887" s="18"/>
      <c r="B887" s="18"/>
      <c r="C887" s="18"/>
      <c r="D887" s="18"/>
      <c r="E887" s="18"/>
      <c r="F887" s="18"/>
      <c r="G887" s="18"/>
      <c r="H887" s="18"/>
    </row>
    <row r="888" spans="1:8" ht="14.25" customHeight="1">
      <c r="A888" s="18"/>
      <c r="B888" s="18"/>
      <c r="C888" s="18"/>
      <c r="D888" s="18"/>
      <c r="E888" s="18"/>
      <c r="F888" s="18"/>
      <c r="G888" s="18"/>
      <c r="H888" s="18"/>
    </row>
    <row r="889" spans="1:8" ht="14.25" customHeight="1">
      <c r="A889" s="18"/>
      <c r="B889" s="18"/>
      <c r="C889" s="18"/>
      <c r="D889" s="18"/>
      <c r="E889" s="18"/>
      <c r="F889" s="18"/>
      <c r="G889" s="18"/>
      <c r="H889" s="18"/>
    </row>
    <row r="890" spans="1:8" ht="14.25" customHeight="1">
      <c r="A890" s="18"/>
      <c r="B890" s="18"/>
      <c r="C890" s="18"/>
      <c r="D890" s="18"/>
      <c r="E890" s="18"/>
      <c r="F890" s="18"/>
      <c r="G890" s="18"/>
      <c r="H890" s="18"/>
    </row>
    <row r="891" spans="1:8" ht="14.25" customHeight="1">
      <c r="A891" s="18"/>
      <c r="B891" s="18"/>
      <c r="C891" s="18"/>
      <c r="D891" s="18"/>
      <c r="E891" s="18"/>
      <c r="F891" s="18"/>
      <c r="G891" s="18"/>
      <c r="H891" s="18"/>
    </row>
    <row r="892" spans="1:8" ht="14.25" customHeight="1">
      <c r="A892" s="18"/>
      <c r="B892" s="18"/>
      <c r="C892" s="18"/>
      <c r="D892" s="18"/>
      <c r="E892" s="18"/>
      <c r="F892" s="18"/>
      <c r="G892" s="18"/>
      <c r="H892" s="18"/>
    </row>
    <row r="893" spans="1:8" ht="14.25" customHeight="1">
      <c r="A893" s="18"/>
      <c r="B893" s="18"/>
      <c r="C893" s="18"/>
      <c r="D893" s="18"/>
      <c r="E893" s="18"/>
      <c r="F893" s="18"/>
      <c r="G893" s="18"/>
      <c r="H893" s="18"/>
    </row>
    <row r="894" spans="1:8" ht="14.25" customHeight="1">
      <c r="A894" s="18"/>
      <c r="B894" s="18"/>
      <c r="C894" s="18"/>
      <c r="D894" s="18"/>
      <c r="E894" s="18"/>
      <c r="F894" s="18"/>
      <c r="G894" s="18"/>
      <c r="H894" s="18"/>
    </row>
    <row r="895" spans="1:8" ht="14.25" customHeight="1">
      <c r="A895" s="18"/>
      <c r="B895" s="18"/>
      <c r="C895" s="18"/>
      <c r="D895" s="18"/>
      <c r="E895" s="18"/>
      <c r="F895" s="18"/>
      <c r="G895" s="18"/>
      <c r="H895" s="18"/>
    </row>
    <row r="896" spans="1:8" ht="14.25" customHeight="1">
      <c r="A896" s="18"/>
      <c r="B896" s="18"/>
      <c r="C896" s="18"/>
      <c r="D896" s="18"/>
      <c r="E896" s="18"/>
      <c r="F896" s="18"/>
      <c r="G896" s="18"/>
      <c r="H896" s="18"/>
    </row>
    <row r="897" spans="1:8" ht="14.25" customHeight="1">
      <c r="A897" s="18"/>
      <c r="B897" s="18"/>
      <c r="C897" s="18"/>
      <c r="D897" s="18"/>
      <c r="E897" s="18"/>
      <c r="F897" s="18"/>
      <c r="G897" s="18"/>
      <c r="H897" s="18"/>
    </row>
    <row r="898" spans="1:8" ht="14.25" customHeight="1">
      <c r="A898" s="18"/>
      <c r="B898" s="18"/>
      <c r="C898" s="18"/>
      <c r="D898" s="18"/>
      <c r="E898" s="18"/>
      <c r="F898" s="18"/>
      <c r="G898" s="18"/>
      <c r="H898" s="18"/>
    </row>
    <row r="899" spans="1:8" ht="14.25" customHeight="1">
      <c r="A899" s="18"/>
      <c r="B899" s="18"/>
      <c r="C899" s="18"/>
      <c r="D899" s="18"/>
      <c r="E899" s="18"/>
      <c r="F899" s="18"/>
      <c r="G899" s="18"/>
      <c r="H899" s="18"/>
    </row>
    <row r="900" spans="1:8" ht="14.25" customHeight="1">
      <c r="A900" s="18"/>
      <c r="B900" s="18"/>
      <c r="C900" s="18"/>
      <c r="D900" s="18"/>
      <c r="E900" s="18"/>
      <c r="F900" s="18"/>
      <c r="G900" s="18"/>
      <c r="H900" s="18"/>
    </row>
    <row r="901" spans="1:8" ht="14.25" customHeight="1">
      <c r="A901" s="18"/>
      <c r="B901" s="18"/>
      <c r="C901" s="18"/>
      <c r="D901" s="18"/>
      <c r="E901" s="18"/>
      <c r="F901" s="18"/>
      <c r="G901" s="18"/>
      <c r="H901" s="18"/>
    </row>
    <row r="902" spans="1:8" ht="14.25" customHeight="1">
      <c r="A902" s="18"/>
      <c r="B902" s="18"/>
      <c r="C902" s="18"/>
      <c r="D902" s="18"/>
      <c r="E902" s="18"/>
      <c r="F902" s="18"/>
      <c r="G902" s="18"/>
      <c r="H902" s="18"/>
    </row>
    <row r="903" spans="1:8" ht="14.25" customHeight="1">
      <c r="A903" s="18"/>
      <c r="B903" s="18"/>
      <c r="C903" s="18"/>
      <c r="D903" s="18"/>
      <c r="E903" s="18"/>
      <c r="F903" s="18"/>
      <c r="G903" s="18"/>
      <c r="H903" s="18"/>
    </row>
    <row r="904" spans="1:8" ht="14.25" customHeight="1">
      <c r="A904" s="18"/>
      <c r="B904" s="18"/>
      <c r="C904" s="18"/>
      <c r="D904" s="18"/>
      <c r="E904" s="18"/>
      <c r="F904" s="18"/>
      <c r="G904" s="18"/>
      <c r="H904" s="18"/>
    </row>
    <row r="905" spans="1:8" ht="14.25" customHeight="1">
      <c r="A905" s="18"/>
      <c r="B905" s="18"/>
      <c r="C905" s="18"/>
      <c r="D905" s="18"/>
      <c r="E905" s="18"/>
      <c r="F905" s="18"/>
      <c r="G905" s="18"/>
      <c r="H905" s="18"/>
    </row>
    <row r="906" spans="1:8" ht="14.25" customHeight="1">
      <c r="A906" s="18"/>
      <c r="B906" s="18"/>
      <c r="C906" s="18"/>
      <c r="D906" s="18"/>
      <c r="E906" s="18"/>
      <c r="F906" s="18"/>
      <c r="G906" s="18"/>
      <c r="H906" s="18"/>
    </row>
    <row r="907" spans="1:8" ht="14.25" customHeight="1">
      <c r="A907" s="18"/>
      <c r="B907" s="18"/>
      <c r="C907" s="18"/>
      <c r="D907" s="18"/>
      <c r="E907" s="18"/>
      <c r="F907" s="18"/>
      <c r="G907" s="18"/>
      <c r="H907" s="18"/>
    </row>
    <row r="908" spans="1:8" ht="14.25" customHeight="1">
      <c r="A908" s="18"/>
      <c r="B908" s="18"/>
      <c r="C908" s="18"/>
      <c r="D908" s="18"/>
      <c r="E908" s="18"/>
      <c r="F908" s="18"/>
      <c r="G908" s="18"/>
      <c r="H908" s="18"/>
    </row>
    <row r="909" spans="1:8" ht="14.25" customHeight="1">
      <c r="A909" s="18"/>
      <c r="B909" s="18"/>
      <c r="C909" s="18"/>
      <c r="D909" s="18"/>
      <c r="E909" s="18"/>
      <c r="F909" s="18"/>
      <c r="G909" s="18"/>
      <c r="H909" s="18"/>
    </row>
    <row r="910" spans="1:8" ht="14.25" customHeight="1">
      <c r="A910" s="18"/>
      <c r="B910" s="18"/>
      <c r="C910" s="18"/>
      <c r="D910" s="18"/>
      <c r="E910" s="18"/>
      <c r="F910" s="18"/>
      <c r="G910" s="18"/>
      <c r="H910" s="18"/>
    </row>
    <row r="911" spans="1:8" ht="14.25" customHeight="1">
      <c r="A911" s="18"/>
      <c r="B911" s="18"/>
      <c r="C911" s="18"/>
      <c r="D911" s="18"/>
      <c r="E911" s="18"/>
      <c r="F911" s="18"/>
      <c r="G911" s="18"/>
      <c r="H911" s="18"/>
    </row>
    <row r="912" spans="1:8" ht="14.25" customHeight="1">
      <c r="A912" s="18"/>
      <c r="B912" s="18"/>
      <c r="C912" s="18"/>
      <c r="D912" s="18"/>
      <c r="E912" s="18"/>
      <c r="F912" s="18"/>
      <c r="G912" s="18"/>
      <c r="H912" s="18"/>
    </row>
    <row r="913" spans="1:8" ht="14.25" customHeight="1">
      <c r="A913" s="18"/>
      <c r="B913" s="18"/>
      <c r="C913" s="18"/>
      <c r="D913" s="18"/>
      <c r="E913" s="18"/>
      <c r="F913" s="18"/>
      <c r="G913" s="18"/>
      <c r="H913" s="18"/>
    </row>
    <row r="914" spans="1:8" ht="14.25" customHeight="1">
      <c r="A914" s="18"/>
      <c r="B914" s="18"/>
      <c r="C914" s="18"/>
      <c r="D914" s="18"/>
      <c r="E914" s="18"/>
      <c r="F914" s="18"/>
      <c r="G914" s="18"/>
      <c r="H914" s="18"/>
    </row>
    <row r="915" spans="1:8" ht="14.25" customHeight="1">
      <c r="A915" s="18"/>
      <c r="B915" s="18"/>
      <c r="C915" s="18"/>
      <c r="D915" s="18"/>
      <c r="E915" s="18"/>
      <c r="F915" s="18"/>
      <c r="G915" s="18"/>
      <c r="H915" s="18"/>
    </row>
    <row r="916" spans="1:8" ht="14.25" customHeight="1">
      <c r="A916" s="18"/>
      <c r="B916" s="18"/>
      <c r="C916" s="18"/>
      <c r="D916" s="18"/>
      <c r="E916" s="18"/>
      <c r="F916" s="18"/>
      <c r="G916" s="18"/>
      <c r="H916" s="18"/>
    </row>
    <row r="917" spans="1:8" ht="14.25" customHeight="1">
      <c r="A917" s="18"/>
      <c r="B917" s="18"/>
      <c r="C917" s="18"/>
      <c r="D917" s="18"/>
      <c r="E917" s="18"/>
      <c r="F917" s="18"/>
      <c r="G917" s="18"/>
      <c r="H917" s="18"/>
    </row>
    <row r="918" spans="1:8" ht="14.25" customHeight="1">
      <c r="A918" s="18"/>
      <c r="B918" s="18"/>
      <c r="C918" s="18"/>
      <c r="D918" s="18"/>
      <c r="E918" s="18"/>
      <c r="F918" s="18"/>
      <c r="G918" s="18"/>
      <c r="H918" s="18"/>
    </row>
    <row r="919" spans="1:8" ht="14.25" customHeight="1">
      <c r="A919" s="18"/>
      <c r="B919" s="18"/>
      <c r="C919" s="18"/>
      <c r="D919" s="18"/>
      <c r="E919" s="18"/>
      <c r="F919" s="18"/>
      <c r="G919" s="18"/>
      <c r="H919" s="18"/>
    </row>
    <row r="920" spans="1:8" ht="14.25" customHeight="1">
      <c r="A920" s="18"/>
      <c r="B920" s="18"/>
      <c r="C920" s="18"/>
      <c r="D920" s="18"/>
      <c r="E920" s="18"/>
      <c r="F920" s="18"/>
      <c r="G920" s="18"/>
      <c r="H920" s="18"/>
    </row>
    <row r="921" spans="1:8" ht="14.25" customHeight="1">
      <c r="A921" s="18"/>
      <c r="B921" s="18"/>
      <c r="C921" s="18"/>
      <c r="D921" s="18"/>
      <c r="E921" s="18"/>
      <c r="F921" s="18"/>
      <c r="G921" s="18"/>
      <c r="H921" s="18"/>
    </row>
    <row r="922" spans="1:8" ht="14.25" customHeight="1">
      <c r="A922" s="18"/>
      <c r="B922" s="18"/>
      <c r="C922" s="18"/>
      <c r="D922" s="18"/>
      <c r="E922" s="18"/>
      <c r="F922" s="18"/>
      <c r="G922" s="18"/>
      <c r="H922" s="18"/>
    </row>
    <row r="923" spans="1:8" ht="14.25" customHeight="1">
      <c r="A923" s="18"/>
      <c r="B923" s="18"/>
      <c r="C923" s="18"/>
      <c r="D923" s="18"/>
      <c r="E923" s="18"/>
      <c r="F923" s="18"/>
      <c r="G923" s="18"/>
      <c r="H923" s="18"/>
    </row>
    <row r="924" spans="1:8" ht="14.25" customHeight="1">
      <c r="A924" s="18"/>
      <c r="B924" s="18"/>
      <c r="C924" s="18"/>
      <c r="D924" s="18"/>
      <c r="E924" s="18"/>
      <c r="F924" s="18"/>
      <c r="G924" s="18"/>
      <c r="H924" s="18"/>
    </row>
    <row r="925" spans="1:8" ht="14.25" customHeight="1">
      <c r="A925" s="18"/>
      <c r="B925" s="18"/>
      <c r="C925" s="18"/>
      <c r="D925" s="18"/>
      <c r="E925" s="18"/>
      <c r="F925" s="18"/>
      <c r="G925" s="18"/>
      <c r="H925" s="18"/>
    </row>
    <row r="926" spans="1:8" ht="14.25" customHeight="1">
      <c r="A926" s="18"/>
      <c r="B926" s="18"/>
      <c r="C926" s="18"/>
      <c r="D926" s="18"/>
      <c r="E926" s="18"/>
      <c r="F926" s="18"/>
      <c r="G926" s="18"/>
      <c r="H926" s="18"/>
    </row>
    <row r="927" spans="1:8" ht="14.25" customHeight="1">
      <c r="A927" s="18"/>
      <c r="B927" s="18"/>
      <c r="C927" s="18"/>
      <c r="D927" s="18"/>
      <c r="E927" s="18"/>
      <c r="F927" s="18"/>
      <c r="G927" s="18"/>
      <c r="H927" s="18"/>
    </row>
    <row r="928" spans="1:8" ht="14.25" customHeight="1">
      <c r="A928" s="18"/>
      <c r="B928" s="18"/>
      <c r="C928" s="18"/>
      <c r="D928" s="18"/>
      <c r="E928" s="18"/>
      <c r="F928" s="18"/>
      <c r="G928" s="18"/>
      <c r="H928" s="18"/>
    </row>
    <row r="929" spans="1:8" ht="14.25" customHeight="1">
      <c r="A929" s="18"/>
      <c r="B929" s="18"/>
      <c r="C929" s="18"/>
      <c r="D929" s="18"/>
      <c r="E929" s="18"/>
      <c r="F929" s="18"/>
      <c r="G929" s="18"/>
      <c r="H929" s="18"/>
    </row>
    <row r="930" spans="1:8" ht="14.25" customHeight="1">
      <c r="A930" s="18"/>
      <c r="B930" s="18"/>
      <c r="C930" s="18"/>
      <c r="D930" s="18"/>
      <c r="E930" s="18"/>
      <c r="F930" s="18"/>
      <c r="G930" s="18"/>
      <c r="H930" s="18"/>
    </row>
    <row r="931" spans="1:8" ht="14.25" customHeight="1">
      <c r="A931" s="18"/>
      <c r="B931" s="18"/>
      <c r="C931" s="18"/>
      <c r="D931" s="18"/>
      <c r="E931" s="18"/>
      <c r="F931" s="18"/>
      <c r="G931" s="18"/>
      <c r="H931" s="18"/>
    </row>
    <row r="932" spans="1:8" ht="14.25" customHeight="1">
      <c r="A932" s="18"/>
      <c r="B932" s="18"/>
      <c r="C932" s="18"/>
      <c r="D932" s="18"/>
      <c r="E932" s="18"/>
      <c r="F932" s="18"/>
      <c r="G932" s="18"/>
      <c r="H932" s="18"/>
    </row>
    <row r="933" spans="1:8" ht="14.25" customHeight="1">
      <c r="A933" s="18"/>
      <c r="B933" s="18"/>
      <c r="C933" s="18"/>
      <c r="D933" s="18"/>
      <c r="E933" s="18"/>
      <c r="F933" s="18"/>
      <c r="G933" s="18"/>
      <c r="H933" s="18"/>
    </row>
    <row r="934" spans="1:8" ht="14.25" customHeight="1">
      <c r="A934" s="18"/>
      <c r="B934" s="18"/>
      <c r="C934" s="18"/>
      <c r="D934" s="18"/>
      <c r="E934" s="18"/>
      <c r="F934" s="18"/>
      <c r="G934" s="18"/>
      <c r="H934" s="18"/>
    </row>
    <row r="935" spans="1:8" ht="14.25" customHeight="1">
      <c r="A935" s="18"/>
      <c r="B935" s="18"/>
      <c r="C935" s="18"/>
      <c r="D935" s="18"/>
      <c r="E935" s="18"/>
      <c r="F935" s="18"/>
      <c r="G935" s="18"/>
      <c r="H935" s="18"/>
    </row>
    <row r="936" spans="1:8" ht="14.25" customHeight="1">
      <c r="A936" s="18"/>
      <c r="B936" s="18"/>
      <c r="C936" s="18"/>
      <c r="D936" s="18"/>
      <c r="E936" s="18"/>
      <c r="F936" s="18"/>
      <c r="G936" s="18"/>
      <c r="H936" s="18"/>
    </row>
    <row r="937" spans="1:8" ht="14.25" customHeight="1">
      <c r="A937" s="18"/>
      <c r="B937" s="18"/>
      <c r="C937" s="18"/>
      <c r="D937" s="18"/>
      <c r="E937" s="18"/>
      <c r="F937" s="18"/>
      <c r="G937" s="18"/>
      <c r="H937" s="18"/>
    </row>
    <row r="938" spans="1:8" ht="14.25" customHeight="1">
      <c r="A938" s="18"/>
      <c r="B938" s="18"/>
      <c r="C938" s="18"/>
      <c r="D938" s="18"/>
      <c r="E938" s="18"/>
      <c r="F938" s="18"/>
      <c r="G938" s="18"/>
      <c r="H938" s="18"/>
    </row>
    <row r="939" spans="1:8" ht="14.25" customHeight="1">
      <c r="A939" s="18"/>
      <c r="B939" s="18"/>
      <c r="C939" s="18"/>
      <c r="D939" s="18"/>
      <c r="E939" s="18"/>
      <c r="F939" s="18"/>
      <c r="G939" s="18"/>
      <c r="H939" s="18"/>
    </row>
    <row r="940" spans="1:8" ht="14.25" customHeight="1">
      <c r="A940" s="18"/>
      <c r="B940" s="18"/>
      <c r="C940" s="18"/>
      <c r="D940" s="18"/>
      <c r="E940" s="18"/>
      <c r="F940" s="18"/>
      <c r="G940" s="18"/>
      <c r="H940" s="18"/>
    </row>
    <row r="941" spans="1:8" ht="14.25" customHeight="1">
      <c r="A941" s="18"/>
      <c r="B941" s="18"/>
      <c r="C941" s="18"/>
      <c r="D941" s="18"/>
      <c r="E941" s="18"/>
      <c r="F941" s="18"/>
      <c r="G941" s="18"/>
      <c r="H941" s="18"/>
    </row>
    <row r="942" spans="1:8" ht="14.25" customHeight="1">
      <c r="A942" s="18"/>
      <c r="B942" s="18"/>
      <c r="C942" s="18"/>
      <c r="D942" s="18"/>
      <c r="E942" s="18"/>
      <c r="F942" s="18"/>
      <c r="G942" s="18"/>
      <c r="H942" s="18"/>
    </row>
    <row r="943" spans="1:8" ht="14.25" customHeight="1">
      <c r="A943" s="18"/>
      <c r="B943" s="18"/>
      <c r="C943" s="18"/>
      <c r="D943" s="18"/>
      <c r="E943" s="18"/>
      <c r="F943" s="18"/>
      <c r="G943" s="18"/>
      <c r="H943" s="18"/>
    </row>
    <row r="944" spans="1:8" ht="14.25" customHeight="1">
      <c r="A944" s="18"/>
      <c r="B944" s="18"/>
      <c r="C944" s="18"/>
      <c r="D944" s="18"/>
      <c r="E944" s="18"/>
      <c r="F944" s="18"/>
      <c r="G944" s="18"/>
      <c r="H944" s="18"/>
    </row>
    <row r="945" spans="1:8" ht="14.25" customHeight="1">
      <c r="A945" s="18"/>
      <c r="B945" s="18"/>
      <c r="C945" s="18"/>
      <c r="D945" s="18"/>
      <c r="E945" s="18"/>
      <c r="F945" s="18"/>
      <c r="G945" s="18"/>
      <c r="H945" s="18"/>
    </row>
    <row r="946" spans="1:8" ht="14.25" customHeight="1">
      <c r="A946" s="18"/>
      <c r="B946" s="18"/>
      <c r="C946" s="18"/>
      <c r="D946" s="18"/>
      <c r="E946" s="18"/>
      <c r="F946" s="18"/>
      <c r="G946" s="18"/>
      <c r="H946" s="18"/>
    </row>
    <row r="947" spans="1:8" ht="14.25" customHeight="1">
      <c r="A947" s="18"/>
      <c r="B947" s="18"/>
      <c r="C947" s="18"/>
      <c r="D947" s="18"/>
      <c r="E947" s="18"/>
      <c r="F947" s="18"/>
      <c r="G947" s="18"/>
      <c r="H947" s="18"/>
    </row>
    <row r="948" spans="1:8" ht="14.25" customHeight="1">
      <c r="A948" s="18"/>
      <c r="B948" s="18"/>
      <c r="C948" s="18"/>
      <c r="D948" s="18"/>
      <c r="E948" s="18"/>
      <c r="F948" s="18"/>
      <c r="G948" s="18"/>
      <c r="H948" s="18"/>
    </row>
    <row r="949" spans="1:8" ht="14.25" customHeight="1">
      <c r="A949" s="18"/>
      <c r="B949" s="18"/>
      <c r="C949" s="18"/>
      <c r="D949" s="18"/>
      <c r="E949" s="18"/>
      <c r="F949" s="18"/>
      <c r="G949" s="18"/>
      <c r="H949" s="18"/>
    </row>
    <row r="950" spans="1:8" ht="14.25" customHeight="1">
      <c r="A950" s="18"/>
      <c r="B950" s="18"/>
      <c r="C950" s="18"/>
      <c r="D950" s="18"/>
      <c r="E950" s="18"/>
      <c r="F950" s="18"/>
      <c r="G950" s="18"/>
      <c r="H950" s="18"/>
    </row>
    <row r="951" spans="1:8" ht="14.25" customHeight="1">
      <c r="A951" s="18"/>
      <c r="B951" s="18"/>
      <c r="C951" s="18"/>
      <c r="D951" s="18"/>
      <c r="E951" s="18"/>
      <c r="F951" s="18"/>
      <c r="G951" s="18"/>
      <c r="H951" s="18"/>
    </row>
    <row r="952" spans="1:8" ht="14.25" customHeight="1">
      <c r="A952" s="18"/>
      <c r="B952" s="18"/>
      <c r="C952" s="18"/>
      <c r="D952" s="18"/>
      <c r="E952" s="18"/>
      <c r="F952" s="18"/>
      <c r="G952" s="18"/>
      <c r="H952" s="18"/>
    </row>
    <row r="953" spans="1:8" ht="14.25" customHeight="1">
      <c r="A953" s="18"/>
      <c r="B953" s="18"/>
      <c r="C953" s="18"/>
      <c r="D953" s="18"/>
      <c r="E953" s="18"/>
      <c r="F953" s="18"/>
      <c r="G953" s="18"/>
      <c r="H953" s="18"/>
    </row>
    <row r="954" spans="1:8" ht="14.25" customHeight="1">
      <c r="A954" s="18"/>
      <c r="B954" s="18"/>
      <c r="C954" s="18"/>
      <c r="D954" s="18"/>
      <c r="E954" s="18"/>
      <c r="F954" s="18"/>
      <c r="G954" s="18"/>
      <c r="H954" s="18"/>
    </row>
    <row r="955" spans="1:8" ht="14.25" customHeight="1">
      <c r="A955" s="18"/>
      <c r="B955" s="18"/>
      <c r="C955" s="18"/>
      <c r="D955" s="18"/>
      <c r="E955" s="18"/>
      <c r="F955" s="18"/>
      <c r="G955" s="18"/>
      <c r="H955" s="18"/>
    </row>
    <row r="956" spans="1:8" ht="14.25" customHeight="1">
      <c r="A956" s="18"/>
      <c r="B956" s="18"/>
      <c r="C956" s="18"/>
      <c r="D956" s="18"/>
      <c r="E956" s="18"/>
      <c r="F956" s="18"/>
      <c r="G956" s="18"/>
      <c r="H956" s="18"/>
    </row>
    <row r="957" spans="1:8" ht="14.25" customHeight="1">
      <c r="A957" s="18"/>
      <c r="B957" s="18"/>
      <c r="C957" s="18"/>
      <c r="D957" s="18"/>
      <c r="E957" s="18"/>
      <c r="F957" s="18"/>
      <c r="G957" s="18"/>
      <c r="H957" s="18"/>
    </row>
    <row r="958" spans="1:8" ht="14.25" customHeight="1">
      <c r="A958" s="18"/>
      <c r="B958" s="18"/>
      <c r="C958" s="18"/>
      <c r="D958" s="18"/>
      <c r="E958" s="18"/>
      <c r="F958" s="18"/>
      <c r="G958" s="18"/>
      <c r="H958" s="18"/>
    </row>
    <row r="959" spans="1:8" ht="14.25" customHeight="1">
      <c r="A959" s="18"/>
      <c r="B959" s="18"/>
      <c r="C959" s="18"/>
      <c r="D959" s="18"/>
      <c r="E959" s="18"/>
      <c r="F959" s="18"/>
      <c r="G959" s="18"/>
      <c r="H959" s="18"/>
    </row>
    <row r="960" spans="1:8" ht="14.25" customHeight="1">
      <c r="A960" s="18"/>
      <c r="B960" s="18"/>
      <c r="C960" s="18"/>
      <c r="D960" s="18"/>
      <c r="E960" s="18"/>
      <c r="F960" s="18"/>
      <c r="G960" s="18"/>
      <c r="H960" s="18"/>
    </row>
    <row r="961" spans="1:8" ht="14.25" customHeight="1">
      <c r="A961" s="18"/>
      <c r="B961" s="18"/>
      <c r="C961" s="18"/>
      <c r="D961" s="18"/>
      <c r="E961" s="18"/>
      <c r="F961" s="18"/>
      <c r="G961" s="18"/>
      <c r="H961" s="18"/>
    </row>
    <row r="962" spans="1:8" ht="14.25" customHeight="1">
      <c r="A962" s="18"/>
      <c r="B962" s="18"/>
      <c r="C962" s="18"/>
      <c r="D962" s="18"/>
      <c r="E962" s="18"/>
      <c r="F962" s="18"/>
      <c r="G962" s="18"/>
      <c r="H962" s="18"/>
    </row>
    <row r="963" spans="1:8" ht="14.25" customHeight="1">
      <c r="A963" s="18"/>
      <c r="B963" s="18"/>
      <c r="C963" s="18"/>
      <c r="D963" s="18"/>
      <c r="E963" s="18"/>
      <c r="F963" s="18"/>
      <c r="G963" s="18"/>
      <c r="H963" s="18"/>
    </row>
    <row r="964" spans="1:8" ht="14.25" customHeight="1">
      <c r="A964" s="18"/>
      <c r="B964" s="18"/>
      <c r="C964" s="18"/>
      <c r="D964" s="18"/>
      <c r="E964" s="18"/>
      <c r="F964" s="18"/>
      <c r="G964" s="18"/>
      <c r="H964" s="18"/>
    </row>
    <row r="965" spans="1:8" ht="14.25" customHeight="1">
      <c r="A965" s="18"/>
      <c r="B965" s="18"/>
      <c r="C965" s="18"/>
      <c r="D965" s="18"/>
      <c r="E965" s="18"/>
      <c r="F965" s="18"/>
      <c r="G965" s="18"/>
      <c r="H965" s="18"/>
    </row>
    <row r="966" spans="1:8" ht="14.25" customHeight="1">
      <c r="A966" s="18"/>
      <c r="B966" s="18"/>
      <c r="C966" s="18"/>
      <c r="D966" s="18"/>
      <c r="E966" s="18"/>
      <c r="F966" s="18"/>
      <c r="G966" s="18"/>
      <c r="H966" s="18"/>
    </row>
    <row r="967" spans="1:8" ht="14.25" customHeight="1">
      <c r="A967" s="18"/>
      <c r="B967" s="18"/>
      <c r="C967" s="18"/>
      <c r="D967" s="18"/>
      <c r="E967" s="18"/>
      <c r="F967" s="18"/>
      <c r="G967" s="18"/>
      <c r="H967" s="18"/>
    </row>
    <row r="968" spans="1:8" ht="14.25" customHeight="1">
      <c r="A968" s="18"/>
      <c r="B968" s="18"/>
      <c r="C968" s="18"/>
      <c r="D968" s="18"/>
      <c r="E968" s="18"/>
      <c r="F968" s="18"/>
      <c r="G968" s="18"/>
      <c r="H968" s="18"/>
    </row>
    <row r="969" spans="1:8" ht="14.25" customHeight="1">
      <c r="A969" s="18"/>
      <c r="B969" s="18"/>
      <c r="C969" s="18"/>
      <c r="D969" s="18"/>
      <c r="E969" s="18"/>
      <c r="F969" s="18"/>
      <c r="G969" s="18"/>
      <c r="H969" s="18"/>
    </row>
    <row r="970" spans="1:8" ht="14.25" customHeight="1">
      <c r="A970" s="18"/>
      <c r="B970" s="18"/>
      <c r="C970" s="18"/>
      <c r="D970" s="18"/>
      <c r="E970" s="18"/>
      <c r="F970" s="18"/>
      <c r="G970" s="18"/>
      <c r="H970" s="18"/>
    </row>
    <row r="971" spans="1:8" ht="14.25" customHeight="1">
      <c r="A971" s="18"/>
      <c r="B971" s="18"/>
      <c r="C971" s="18"/>
      <c r="D971" s="18"/>
      <c r="E971" s="18"/>
      <c r="F971" s="18"/>
      <c r="G971" s="18"/>
      <c r="H971" s="18"/>
    </row>
    <row r="972" spans="1:8" ht="14.25" customHeight="1">
      <c r="A972" s="18"/>
      <c r="B972" s="18"/>
      <c r="C972" s="18"/>
      <c r="D972" s="18"/>
      <c r="E972" s="18"/>
      <c r="F972" s="18"/>
      <c r="G972" s="18"/>
      <c r="H972" s="18"/>
    </row>
    <row r="973" spans="1:8" ht="14.25" customHeight="1">
      <c r="A973" s="18"/>
      <c r="B973" s="18"/>
      <c r="C973" s="18"/>
      <c r="D973" s="18"/>
      <c r="E973" s="18"/>
      <c r="F973" s="18"/>
      <c r="G973" s="18"/>
      <c r="H973" s="18"/>
    </row>
    <row r="974" spans="1:8" ht="14.25" customHeight="1">
      <c r="A974" s="18"/>
      <c r="B974" s="18"/>
      <c r="C974" s="18"/>
      <c r="D974" s="18"/>
      <c r="E974" s="18"/>
      <c r="F974" s="18"/>
      <c r="G974" s="18"/>
      <c r="H974" s="18"/>
    </row>
    <row r="975" spans="1:8" ht="14.25" customHeight="1">
      <c r="A975" s="18"/>
      <c r="B975" s="18"/>
      <c r="C975" s="18"/>
      <c r="D975" s="18"/>
      <c r="E975" s="18"/>
      <c r="F975" s="18"/>
      <c r="G975" s="18"/>
      <c r="H975" s="18"/>
    </row>
    <row r="976" spans="1:8" ht="14.25" customHeight="1">
      <c r="A976" s="18"/>
      <c r="B976" s="18"/>
      <c r="C976" s="18"/>
      <c r="D976" s="18"/>
      <c r="E976" s="18"/>
      <c r="F976" s="18"/>
      <c r="G976" s="18"/>
      <c r="H976" s="18"/>
    </row>
    <row r="977" spans="1:8" ht="14.25" customHeight="1">
      <c r="A977" s="18"/>
      <c r="B977" s="18"/>
      <c r="C977" s="18"/>
      <c r="D977" s="18"/>
      <c r="E977" s="18"/>
      <c r="F977" s="18"/>
      <c r="G977" s="18"/>
      <c r="H977" s="18"/>
    </row>
    <row r="978" spans="1:8" ht="14.25" customHeight="1">
      <c r="A978" s="18"/>
      <c r="B978" s="18"/>
      <c r="C978" s="18"/>
      <c r="D978" s="18"/>
      <c r="E978" s="18"/>
      <c r="F978" s="18"/>
      <c r="G978" s="18"/>
      <c r="H978" s="18"/>
    </row>
    <row r="979" spans="1:8" ht="14.25" customHeight="1">
      <c r="A979" s="18"/>
      <c r="B979" s="18"/>
      <c r="C979" s="18"/>
      <c r="D979" s="18"/>
      <c r="E979" s="18"/>
      <c r="F979" s="18"/>
      <c r="G979" s="18"/>
      <c r="H979" s="18"/>
    </row>
    <row r="980" spans="1:8" ht="14.25" customHeight="1">
      <c r="A980" s="18"/>
      <c r="B980" s="18"/>
      <c r="C980" s="18"/>
      <c r="D980" s="18"/>
      <c r="E980" s="18"/>
      <c r="F980" s="18"/>
      <c r="G980" s="18"/>
      <c r="H980" s="18"/>
    </row>
    <row r="981" spans="1:8" ht="14.25" customHeight="1">
      <c r="A981" s="18"/>
      <c r="B981" s="18"/>
      <c r="C981" s="18"/>
      <c r="D981" s="18"/>
      <c r="E981" s="18"/>
      <c r="F981" s="18"/>
      <c r="G981" s="18"/>
      <c r="H981" s="18"/>
    </row>
    <row r="982" spans="1:8" ht="14.25" customHeight="1">
      <c r="A982" s="18"/>
      <c r="B982" s="18"/>
      <c r="C982" s="18"/>
      <c r="D982" s="18"/>
      <c r="E982" s="18"/>
      <c r="F982" s="18"/>
      <c r="G982" s="18"/>
      <c r="H982" s="18"/>
    </row>
    <row r="983" spans="1:8" ht="14.25" customHeight="1">
      <c r="A983" s="18"/>
      <c r="B983" s="18"/>
      <c r="C983" s="18"/>
      <c r="D983" s="18"/>
      <c r="E983" s="18"/>
      <c r="F983" s="18"/>
      <c r="G983" s="18"/>
      <c r="H983" s="18"/>
    </row>
    <row r="984" spans="1:8" ht="14.25" customHeight="1">
      <c r="A984" s="18"/>
      <c r="B984" s="18"/>
      <c r="C984" s="18"/>
      <c r="D984" s="18"/>
      <c r="E984" s="18"/>
      <c r="F984" s="18"/>
      <c r="G984" s="18"/>
      <c r="H984" s="18"/>
    </row>
    <row r="985" spans="1:8" ht="14.25" customHeight="1">
      <c r="A985" s="18"/>
      <c r="B985" s="18"/>
      <c r="C985" s="18"/>
      <c r="D985" s="18"/>
      <c r="E985" s="18"/>
      <c r="F985" s="18"/>
      <c r="G985" s="18"/>
      <c r="H985" s="18"/>
    </row>
    <row r="986" spans="1:8" ht="14.25" customHeight="1">
      <c r="A986" s="18"/>
      <c r="B986" s="18"/>
      <c r="C986" s="18"/>
      <c r="D986" s="18"/>
      <c r="E986" s="18"/>
      <c r="F986" s="18"/>
      <c r="G986" s="18"/>
      <c r="H986" s="18"/>
    </row>
    <row r="987" spans="1:8" ht="14.25" customHeight="1">
      <c r="A987" s="18"/>
      <c r="B987" s="18"/>
      <c r="C987" s="18"/>
      <c r="D987" s="18"/>
      <c r="E987" s="18"/>
      <c r="F987" s="18"/>
      <c r="G987" s="18"/>
      <c r="H987" s="18"/>
    </row>
    <row r="988" spans="1:8" ht="14.25" customHeight="1">
      <c r="A988" s="18"/>
      <c r="B988" s="18"/>
      <c r="C988" s="18"/>
      <c r="D988" s="18"/>
      <c r="E988" s="18"/>
      <c r="F988" s="18"/>
      <c r="G988" s="18"/>
      <c r="H988" s="18"/>
    </row>
    <row r="989" spans="1:8" ht="14.25" customHeight="1">
      <c r="A989" s="18"/>
      <c r="B989" s="18"/>
      <c r="C989" s="18"/>
      <c r="D989" s="18"/>
      <c r="E989" s="18"/>
      <c r="F989" s="18"/>
      <c r="G989" s="18"/>
      <c r="H989" s="18"/>
    </row>
    <row r="990" spans="1:8" ht="14.25" customHeight="1">
      <c r="A990" s="18"/>
      <c r="B990" s="18"/>
      <c r="C990" s="18"/>
      <c r="D990" s="18"/>
      <c r="E990" s="18"/>
      <c r="F990" s="18"/>
      <c r="G990" s="18"/>
      <c r="H990" s="18"/>
    </row>
    <row r="991" spans="1:8" ht="14.25" customHeight="1">
      <c r="A991" s="18"/>
      <c r="B991" s="18"/>
      <c r="C991" s="18"/>
      <c r="D991" s="18"/>
      <c r="E991" s="18"/>
      <c r="F991" s="18"/>
      <c r="G991" s="18"/>
      <c r="H991" s="18"/>
    </row>
    <row r="992" spans="1:8" ht="14.25" customHeight="1">
      <c r="A992" s="18"/>
      <c r="B992" s="18"/>
      <c r="C992" s="18"/>
      <c r="D992" s="18"/>
      <c r="E992" s="18"/>
      <c r="F992" s="18"/>
      <c r="G992" s="18"/>
      <c r="H992" s="18"/>
    </row>
    <row r="993" spans="1:8" ht="14.25" customHeight="1">
      <c r="A993" s="18"/>
      <c r="B993" s="18"/>
      <c r="C993" s="18"/>
      <c r="D993" s="18"/>
      <c r="E993" s="18"/>
      <c r="F993" s="18"/>
      <c r="G993" s="18"/>
      <c r="H993" s="18"/>
    </row>
    <row r="994" spans="1:8" ht="14.25" customHeight="1">
      <c r="A994" s="18"/>
      <c r="B994" s="18"/>
      <c r="C994" s="18"/>
      <c r="D994" s="18"/>
      <c r="E994" s="18"/>
      <c r="F994" s="18"/>
      <c r="G994" s="18"/>
      <c r="H994" s="18"/>
    </row>
    <row r="995" spans="1:8" ht="14.25" customHeight="1">
      <c r="A995" s="18"/>
      <c r="B995" s="18"/>
      <c r="C995" s="18"/>
      <c r="D995" s="18"/>
      <c r="E995" s="18"/>
      <c r="F995" s="18"/>
      <c r="G995" s="18"/>
      <c r="H995" s="18"/>
    </row>
    <row r="996" spans="1:8" ht="14.25" customHeight="1">
      <c r="A996" s="18"/>
      <c r="B996" s="18"/>
      <c r="C996" s="18"/>
      <c r="D996" s="18"/>
      <c r="E996" s="18"/>
      <c r="F996" s="18"/>
      <c r="G996" s="18"/>
      <c r="H996" s="18"/>
    </row>
    <row r="997" spans="1:8" ht="14.25" customHeight="1">
      <c r="A997" s="18"/>
      <c r="B997" s="18"/>
      <c r="C997" s="18"/>
      <c r="D997" s="18"/>
      <c r="E997" s="18"/>
      <c r="F997" s="18"/>
      <c r="G997" s="18"/>
      <c r="H997" s="18"/>
    </row>
    <row r="998" spans="1:8" ht="14.25" customHeight="1">
      <c r="A998" s="18"/>
      <c r="B998" s="18"/>
      <c r="C998" s="18"/>
      <c r="D998" s="18"/>
      <c r="E998" s="18"/>
      <c r="F998" s="18"/>
      <c r="G998" s="18"/>
      <c r="H998" s="18"/>
    </row>
    <row r="999" spans="1:8" ht="14.25" customHeight="1">
      <c r="A999" s="18"/>
      <c r="B999" s="18"/>
      <c r="C999" s="18"/>
      <c r="D999" s="18"/>
      <c r="E999" s="18"/>
      <c r="F999" s="18"/>
      <c r="G999" s="18"/>
      <c r="H999" s="18"/>
    </row>
    <row r="1000" spans="1:8" ht="14.25" customHeight="1">
      <c r="A1000" s="18"/>
      <c r="B1000" s="18"/>
      <c r="C1000" s="18"/>
      <c r="D1000" s="18"/>
      <c r="E1000" s="18"/>
      <c r="F1000" s="18"/>
      <c r="G1000" s="18"/>
      <c r="H1000" s="18"/>
    </row>
  </sheetData>
  <mergeCells count="13">
    <mergeCell ref="A30:H30"/>
    <mergeCell ref="A1:H1"/>
    <mergeCell ref="A2:H2"/>
    <mergeCell ref="A3:H3"/>
    <mergeCell ref="A4:H4"/>
    <mergeCell ref="A6:A7"/>
    <mergeCell ref="B6:B7"/>
    <mergeCell ref="C6:C7"/>
    <mergeCell ref="D6:D7"/>
    <mergeCell ref="E6:E7"/>
    <mergeCell ref="F6:F7"/>
    <mergeCell ref="G6:G7"/>
    <mergeCell ref="A29:H29"/>
  </mergeCells>
  <pageMargins left="0.7" right="0.7" top="0.75" bottom="0.75" header="0" footer="0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2</vt:i4>
      </vt:variant>
    </vt:vector>
  </HeadingPairs>
  <TitlesOfParts>
    <vt:vector size="62" baseType="lpstr">
      <vt:lpstr>R.Prod.14 Komoditas</vt:lpstr>
      <vt:lpstr>R.Prod.Padi</vt:lpstr>
      <vt:lpstr>R.Prod.Jagung</vt:lpstr>
      <vt:lpstr>BYK R.Prod.</vt:lpstr>
      <vt:lpstr>R.Prod.Kacang Tanah</vt:lpstr>
      <vt:lpstr>R.Prod.kacang Hijau</vt:lpstr>
      <vt:lpstr>R.Prod.Ketela Pohon</vt:lpstr>
      <vt:lpstr>R.Prod.Ubi Jalar</vt:lpstr>
      <vt:lpstr>R.Prod.Gula</vt:lpstr>
      <vt:lpstr>R.Prod.Cabai Merah</vt:lpstr>
      <vt:lpstr>R.Prod. Bawang Merah</vt:lpstr>
      <vt:lpstr>kebun kelapa</vt:lpstr>
      <vt:lpstr>kebun kelapa deres</vt:lpstr>
      <vt:lpstr>kebun robusta</vt:lpstr>
      <vt:lpstr>arabika kebun</vt:lpstr>
      <vt:lpstr>cengkeh kebun</vt:lpstr>
      <vt:lpstr>cokelat kebun</vt:lpstr>
      <vt:lpstr>lada kebun</vt:lpstr>
      <vt:lpstr>aren kebun</vt:lpstr>
      <vt:lpstr>karet kebun</vt:lpstr>
      <vt:lpstr>asam jawa kebun</vt:lpstr>
      <vt:lpstr>tebu kebun</vt:lpstr>
      <vt:lpstr>nilam kebun</vt:lpstr>
      <vt:lpstr>rekap hasil produksi</vt:lpstr>
      <vt:lpstr>produksi padi sawah</vt:lpstr>
      <vt:lpstr>Padi Ladang Produksi</vt:lpstr>
      <vt:lpstr>Produksi Jagung</vt:lpstr>
      <vt:lpstr>ketela pohon produksi</vt:lpstr>
      <vt:lpstr>ubi jalar produksi</vt:lpstr>
      <vt:lpstr>Kacang Hijau Produksi</vt:lpstr>
      <vt:lpstr>Kedelai Produksi</vt:lpstr>
      <vt:lpstr>Kacang Tanah Produksi</vt:lpstr>
      <vt:lpstr>bawang merah produksi</vt:lpstr>
      <vt:lpstr>Bawang Putih Produksi</vt:lpstr>
      <vt:lpstr>Bawang Daun Produksi</vt:lpstr>
      <vt:lpstr>Kentang Produksi</vt:lpstr>
      <vt:lpstr>Kubis Produksi</vt:lpstr>
      <vt:lpstr>PETSAI PRODUKSI</vt:lpstr>
      <vt:lpstr>Wortel Produksi</vt:lpstr>
      <vt:lpstr>Kac Panjang Prod</vt:lpstr>
      <vt:lpstr>cabai besar</vt:lpstr>
      <vt:lpstr>cabe Rawit</vt:lpstr>
      <vt:lpstr>tomat</vt:lpstr>
      <vt:lpstr>terong</vt:lpstr>
      <vt:lpstr>buncis</vt:lpstr>
      <vt:lpstr>ketimun</vt:lpstr>
      <vt:lpstr>labu siam</vt:lpstr>
      <vt:lpstr>kangkung</vt:lpstr>
      <vt:lpstr>petai</vt:lpstr>
      <vt:lpstr>melinjo</vt:lpstr>
      <vt:lpstr>alpukat</vt:lpstr>
      <vt:lpstr>mangga</vt:lpstr>
      <vt:lpstr>rambutan</vt:lpstr>
      <vt:lpstr>durian</vt:lpstr>
      <vt:lpstr>pisang</vt:lpstr>
      <vt:lpstr>manggis</vt:lpstr>
      <vt:lpstr>nangka</vt:lpstr>
      <vt:lpstr>sawo</vt:lpstr>
      <vt:lpstr>sirsak</vt:lpstr>
      <vt:lpstr>sukun</vt:lpstr>
      <vt:lpstr>mangga!Print_Area</vt:lpstr>
      <vt:lpstr>sukun!Print_Area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ASUS</cp:lastModifiedBy>
  <dcterms:created xsi:type="dcterms:W3CDTF">2017-03-24T00:44:20Z</dcterms:created>
  <dcterms:modified xsi:type="dcterms:W3CDTF">2026-02-12T08:54:52Z</dcterms:modified>
</cp:coreProperties>
</file>